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612" windowWidth="12384" windowHeight="6936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'Plan1'!$A$1:$J$69</definedName>
  </definedNames>
  <calcPr fullCalcOnLoad="1"/>
</workbook>
</file>

<file path=xl/sharedStrings.xml><?xml version="1.0" encoding="utf-8"?>
<sst xmlns="http://schemas.openxmlformats.org/spreadsheetml/2006/main" count="136" uniqueCount="100">
  <si>
    <t>Tribunal de Justiça da Paraíba</t>
  </si>
  <si>
    <t>Execução Orçamentária e Financeira</t>
  </si>
  <si>
    <t>Anexo II</t>
  </si>
  <si>
    <t>Programática</t>
  </si>
  <si>
    <t>Descrição do Programa/Ação</t>
  </si>
  <si>
    <t>Função/Sub Função</t>
  </si>
  <si>
    <t>Esf.</t>
  </si>
  <si>
    <t>GND</t>
  </si>
  <si>
    <t>Fonte</t>
  </si>
  <si>
    <t>Dotação Inicial</t>
  </si>
  <si>
    <t>Supl.</t>
  </si>
  <si>
    <t>Canc.</t>
  </si>
  <si>
    <t>Conting</t>
  </si>
  <si>
    <t>Dotação Autorizada</t>
  </si>
  <si>
    <t>Mov.Liquída de Créditos</t>
  </si>
  <si>
    <t>Mov. Liquída de Créditos</t>
  </si>
  <si>
    <t>Dotação Líquida</t>
  </si>
  <si>
    <t>Empenhada</t>
  </si>
  <si>
    <t>%</t>
  </si>
  <si>
    <t>Liquidada</t>
  </si>
  <si>
    <t>Pago</t>
  </si>
  <si>
    <t>Provisão</t>
  </si>
  <si>
    <t>Destaque</t>
  </si>
  <si>
    <t>A</t>
  </si>
  <si>
    <t>B</t>
  </si>
  <si>
    <t>C</t>
  </si>
  <si>
    <t>D</t>
  </si>
  <si>
    <t>E=A+B+C-D</t>
  </si>
  <si>
    <t>F</t>
  </si>
  <si>
    <t>G</t>
  </si>
  <si>
    <t>H=E+F+G</t>
  </si>
  <si>
    <t>I</t>
  </si>
  <si>
    <t>I/H</t>
  </si>
  <si>
    <t>J</t>
  </si>
  <si>
    <t>J/H</t>
  </si>
  <si>
    <t>K</t>
  </si>
  <si>
    <t>Apoio Administrativo</t>
  </si>
  <si>
    <t xml:space="preserve">5046 4216 </t>
  </si>
  <si>
    <t>Manutenção de Serv. Administrativo</t>
  </si>
  <si>
    <t>02 122</t>
  </si>
  <si>
    <t xml:space="preserve">5046. 4194 </t>
  </si>
  <si>
    <t>Conserv. Reforma e Adap. Imóveis</t>
  </si>
  <si>
    <t>5046 4195</t>
  </si>
  <si>
    <t>Encargos c/ Agua, luz e Telefone</t>
  </si>
  <si>
    <t>5046 4199</t>
  </si>
  <si>
    <t>Aluguel de Imóveis</t>
  </si>
  <si>
    <t/>
  </si>
  <si>
    <t>5046 4217</t>
  </si>
  <si>
    <t>Encargos c/ Pessoal Ativo</t>
  </si>
  <si>
    <t>5046 4219</t>
  </si>
  <si>
    <t>Serviços de Informatização</t>
  </si>
  <si>
    <t>02 126</t>
  </si>
  <si>
    <t>5046 4209</t>
  </si>
  <si>
    <t>Reparo e Conservação de Veículos</t>
  </si>
  <si>
    <t>5046 4213</t>
  </si>
  <si>
    <t>Aquisição de Veículos</t>
  </si>
  <si>
    <t>5046 4220</t>
  </si>
  <si>
    <t>Vale Transporte</t>
  </si>
  <si>
    <t>5046 4221</t>
  </si>
  <si>
    <t>Vale Refeição e Alimentação</t>
  </si>
  <si>
    <t>Processo Judiciário</t>
  </si>
  <si>
    <t>5244 1122</t>
  </si>
  <si>
    <t>Aquisição  de Imóveis</t>
  </si>
  <si>
    <t>02 061</t>
  </si>
  <si>
    <t>5244 1760</t>
  </si>
  <si>
    <t>Aquisição de Imóveis</t>
  </si>
  <si>
    <t>5244 1634</t>
  </si>
  <si>
    <t>Construção de Depósitos Judiciais</t>
  </si>
  <si>
    <t>5244 1635</t>
  </si>
  <si>
    <t>Construção de juizados Especiais</t>
  </si>
  <si>
    <t>5244 1636</t>
  </si>
  <si>
    <t>Construção de Unidades Judiciárias</t>
  </si>
  <si>
    <t>5244 1637</t>
  </si>
  <si>
    <t>Construção de Casas p/ Magist.</t>
  </si>
  <si>
    <t>5244 1480</t>
  </si>
  <si>
    <t>5244 1489</t>
  </si>
  <si>
    <t>5244 1490</t>
  </si>
  <si>
    <t>5244 1761</t>
  </si>
  <si>
    <t>5244 4106</t>
  </si>
  <si>
    <t>Administração de Serv. Judiciários</t>
  </si>
  <si>
    <t>5244 4432</t>
  </si>
  <si>
    <t>5244 4363</t>
  </si>
  <si>
    <t>Capacitação de Rec. Humanos</t>
  </si>
  <si>
    <t>02 128</t>
  </si>
  <si>
    <t>5244 4589</t>
  </si>
  <si>
    <t>ESMA</t>
  </si>
  <si>
    <t>Operações Especiais</t>
  </si>
  <si>
    <t>0000 7003</t>
  </si>
  <si>
    <t>Despesas de Exerc. Anteriores</t>
  </si>
  <si>
    <t>28 846</t>
  </si>
  <si>
    <t>0000 7001</t>
  </si>
  <si>
    <t>Execução de Sentenças Judiciais</t>
  </si>
  <si>
    <t>0000 7013</t>
  </si>
  <si>
    <t>Encargos c/ Inden. Trabalhistas</t>
  </si>
  <si>
    <t>0000 7051</t>
  </si>
  <si>
    <t>Indenizações e Restituições</t>
  </si>
  <si>
    <t>TOTAL</t>
  </si>
  <si>
    <t>5244 4637</t>
  </si>
  <si>
    <t>Comunicação Institucional</t>
  </si>
  <si>
    <t>5244 4638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</si>
</sst>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\-??_);_(@_)"/>
    <numFmt numFmtId="165" formatCode="00"/>
    <numFmt numFmtId="166" formatCode="#,##0;\-#,##0"/>
    <numFmt numFmtId="167" formatCode="_(* #,##0_);_(* \(#,##0\);_(* \-_);_(@_)"/>
    <numFmt numFmtId="168" formatCode="0000"/>
    <numFmt numFmtId="169" formatCode="_(* #,##0_);_(* \(#,##0\);_(* &quot;-&quot;??_);_(@_)"/>
    <numFmt numFmtId="170" formatCode="_(* #,##0.0_);_(* \(#,##0.0\);_(* &quot;-&quot;?_);_(@_)"/>
    <numFmt numFmtId="171" formatCode="_(* #,##0_);_(* \(#,##0\);_(* &quot;-&quot;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64" fontId="0" fillId="0" borderId="0" xfId="18" applyNumberFormat="1" applyFont="1" applyFill="1" applyBorder="1" applyAlignment="1" applyProtection="1">
      <alignment/>
      <protection/>
    </xf>
    <xf numFmtId="3" fontId="0" fillId="0" borderId="0" xfId="18" applyNumberForma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0" fillId="0" borderId="0" xfId="0" applyNumberFormat="1" applyFont="1" applyBorder="1" applyAlignment="1">
      <alignment horizontal="right"/>
    </xf>
    <xf numFmtId="41" fontId="0" fillId="0" borderId="8" xfId="0" applyNumberFormat="1" applyBorder="1" applyAlignment="1">
      <alignment/>
    </xf>
    <xf numFmtId="166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" xfId="0" applyBorder="1" applyAlignment="1" quotePrefix="1">
      <alignment horizontal="center"/>
    </xf>
    <xf numFmtId="167" fontId="10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2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6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3" fontId="3" fillId="0" borderId="2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1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" xfId="0" applyFont="1" applyBorder="1" applyAlignment="1">
      <alignment/>
    </xf>
    <xf numFmtId="41" fontId="1" fillId="0" borderId="4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2" fontId="7" fillId="0" borderId="19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 horizontal="right"/>
      <protection locked="0"/>
    </xf>
    <xf numFmtId="2" fontId="7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3" fontId="3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 applyProtection="1">
      <alignment horizontal="right"/>
      <protection locked="0"/>
    </xf>
    <xf numFmtId="2" fontId="7" fillId="0" borderId="25" xfId="0" applyNumberFormat="1" applyFont="1" applyBorder="1" applyAlignment="1">
      <alignment/>
    </xf>
    <xf numFmtId="168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>
      <alignment/>
    </xf>
    <xf numFmtId="169" fontId="0" fillId="0" borderId="0" xfId="0" applyNumberFormat="1" applyAlignment="1">
      <alignment/>
    </xf>
    <xf numFmtId="41" fontId="0" fillId="0" borderId="0" xfId="0" applyNumberFormat="1" applyFont="1" applyAlignment="1">
      <alignment horizontal="left"/>
    </xf>
    <xf numFmtId="41" fontId="1" fillId="0" borderId="28" xfId="0" applyNumberFormat="1" applyFont="1" applyBorder="1" applyAlignment="1">
      <alignment/>
    </xf>
    <xf numFmtId="41" fontId="1" fillId="0" borderId="29" xfId="0" applyNumberFormat="1" applyFont="1" applyBorder="1" applyAlignment="1">
      <alignment/>
    </xf>
    <xf numFmtId="164" fontId="3" fillId="0" borderId="23" xfId="18" applyNumberFormat="1" applyFont="1" applyFill="1" applyBorder="1" applyAlignment="1" applyProtection="1">
      <alignment/>
      <protection/>
    </xf>
    <xf numFmtId="41" fontId="1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2" fontId="7" fillId="0" borderId="30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41" fontId="1" fillId="0" borderId="21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3" fillId="0" borderId="8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2" fillId="0" borderId="13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30" xfId="0" applyNumberFormat="1" applyFont="1" applyBorder="1" applyAlignment="1" applyProtection="1">
      <alignment horizontal="right"/>
      <protection locked="0"/>
    </xf>
    <xf numFmtId="3" fontId="11" fillId="0" borderId="4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41" fontId="12" fillId="0" borderId="18" xfId="0" applyNumberFormat="1" applyFont="1" applyBorder="1" applyAlignment="1">
      <alignment/>
    </xf>
    <xf numFmtId="41" fontId="12" fillId="0" borderId="31" xfId="0" applyNumberFormat="1" applyFont="1" applyBorder="1" applyAlignment="1">
      <alignment/>
    </xf>
    <xf numFmtId="41" fontId="12" fillId="0" borderId="29" xfId="0" applyNumberFormat="1" applyFont="1" applyBorder="1" applyAlignment="1">
      <alignment/>
    </xf>
    <xf numFmtId="41" fontId="12" fillId="0" borderId="32" xfId="0" applyNumberFormat="1" applyFont="1" applyBorder="1" applyAlignment="1">
      <alignment/>
    </xf>
    <xf numFmtId="41" fontId="12" fillId="0" borderId="4" xfId="0" applyNumberFormat="1" applyFont="1" applyBorder="1" applyAlignment="1">
      <alignment/>
    </xf>
    <xf numFmtId="41" fontId="1" fillId="0" borderId="33" xfId="0" applyNumberFormat="1" applyFont="1" applyBorder="1" applyAlignment="1">
      <alignment/>
    </xf>
    <xf numFmtId="169" fontId="12" fillId="0" borderId="30" xfId="18" applyNumberFormat="1" applyFont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16.28125" style="0" customWidth="1"/>
    <col min="2" max="2" width="31.421875" style="0" customWidth="1"/>
    <col min="3" max="3" width="10.7109375" style="0" customWidth="1"/>
    <col min="4" max="4" width="6.28125" style="0" customWidth="1"/>
    <col min="5" max="5" width="5.28125" style="0" customWidth="1"/>
    <col min="6" max="6" width="5.8515625" style="0" customWidth="1"/>
    <col min="7" max="7" width="12.8515625" style="0" customWidth="1"/>
    <col min="8" max="8" width="12.140625" style="0" customWidth="1"/>
    <col min="9" max="9" width="12.8515625" style="0" customWidth="1"/>
    <col min="10" max="10" width="12.421875" style="0" customWidth="1"/>
    <col min="11" max="11" width="16.28125" style="0" customWidth="1"/>
    <col min="12" max="13" width="11.140625" style="0" customWidth="1"/>
    <col min="14" max="14" width="12.00390625" style="0" customWidth="1"/>
    <col min="15" max="15" width="11.140625" style="0" customWidth="1"/>
    <col min="16" max="16" width="7.7109375" style="0" customWidth="1"/>
    <col min="17" max="17" width="14.28125" style="0" customWidth="1"/>
    <col min="18" max="18" width="7.57421875" style="0" customWidth="1"/>
    <col min="19" max="19" width="12.57421875" style="0" customWidth="1"/>
    <col min="20" max="20" width="5.00390625" style="0" customWidth="1"/>
    <col min="22" max="22" width="13.421875" style="0" customWidth="1"/>
  </cols>
  <sheetData>
    <row r="1" spans="1:20" ht="12.75">
      <c r="A1" s="1" t="s">
        <v>0</v>
      </c>
      <c r="B1" s="1"/>
      <c r="C1" s="2">
        <v>41030</v>
      </c>
      <c r="D1" s="3"/>
      <c r="E1" s="3"/>
      <c r="F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</row>
    <row r="2" spans="1:20" ht="12.75">
      <c r="A2" s="5" t="s">
        <v>1</v>
      </c>
      <c r="B2" s="5"/>
      <c r="C2" s="106" t="s">
        <v>2</v>
      </c>
      <c r="D2" s="6"/>
      <c r="E2" s="6"/>
      <c r="F2" s="6"/>
      <c r="H2" s="6"/>
      <c r="I2" s="149"/>
      <c r="J2" s="6">
        <f>42352071+305000-1730000</f>
        <v>40927071</v>
      </c>
      <c r="K2" s="139"/>
      <c r="L2" s="6"/>
      <c r="M2" s="6"/>
      <c r="N2" s="6"/>
      <c r="O2" s="4"/>
      <c r="P2" s="6"/>
      <c r="Q2" s="6"/>
      <c r="R2" s="6"/>
      <c r="S2" s="6"/>
      <c r="T2" s="6"/>
    </row>
    <row r="3" spans="1:20" ht="13.5" thickBot="1">
      <c r="A3" s="7"/>
      <c r="B3" s="7"/>
      <c r="C3" s="3"/>
      <c r="D3" s="3"/>
      <c r="E3" s="3"/>
      <c r="F3" s="3"/>
      <c r="G3" s="8"/>
      <c r="H3" s="3"/>
      <c r="J3" s="3"/>
      <c r="K3" s="3"/>
      <c r="L3" s="3"/>
      <c r="M3" s="3"/>
      <c r="N3" s="3"/>
      <c r="O3" s="9"/>
      <c r="P3" s="3"/>
      <c r="Q3" s="3"/>
      <c r="R3" s="3"/>
      <c r="S3" s="3"/>
      <c r="T3" s="3"/>
    </row>
    <row r="4" spans="1:20" ht="12.75" customHeight="1" thickBot="1">
      <c r="A4" s="176" t="s">
        <v>3</v>
      </c>
      <c r="B4" s="177" t="s">
        <v>4</v>
      </c>
      <c r="C4" s="178" t="s">
        <v>5</v>
      </c>
      <c r="D4" s="178" t="s">
        <v>6</v>
      </c>
      <c r="E4" s="178" t="s">
        <v>7</v>
      </c>
      <c r="F4" s="178" t="s">
        <v>8</v>
      </c>
      <c r="G4" s="179" t="s">
        <v>9</v>
      </c>
      <c r="H4" s="178" t="s">
        <v>10</v>
      </c>
      <c r="I4" s="178" t="s">
        <v>11</v>
      </c>
      <c r="J4" s="178" t="s">
        <v>12</v>
      </c>
      <c r="K4" s="178" t="s">
        <v>13</v>
      </c>
      <c r="L4" s="178" t="s">
        <v>14</v>
      </c>
      <c r="M4" s="178" t="s">
        <v>15</v>
      </c>
      <c r="N4" s="178" t="s">
        <v>16</v>
      </c>
      <c r="O4" s="181" t="s">
        <v>17</v>
      </c>
      <c r="P4" s="178" t="s">
        <v>18</v>
      </c>
      <c r="Q4" s="178" t="s">
        <v>19</v>
      </c>
      <c r="R4" s="178" t="s">
        <v>18</v>
      </c>
      <c r="S4" s="180" t="s">
        <v>20</v>
      </c>
      <c r="T4" s="10"/>
    </row>
    <row r="5" spans="1:19" ht="13.5" thickBot="1">
      <c r="A5" s="176"/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1" t="s">
        <v>21</v>
      </c>
      <c r="M5" s="12" t="s">
        <v>22</v>
      </c>
      <c r="N5" s="178"/>
      <c r="O5" s="178"/>
      <c r="P5" s="178"/>
      <c r="Q5" s="178"/>
      <c r="R5" s="178"/>
      <c r="S5" s="180"/>
    </row>
    <row r="6" spans="1:20" ht="13.5" thickBot="1">
      <c r="A6" s="176"/>
      <c r="B6" s="177"/>
      <c r="C6" s="178"/>
      <c r="D6" s="178"/>
      <c r="E6" s="178"/>
      <c r="F6" s="178"/>
      <c r="G6" s="13" t="s">
        <v>23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29</v>
      </c>
      <c r="N6" s="12" t="s">
        <v>30</v>
      </c>
      <c r="O6" s="14" t="s">
        <v>31</v>
      </c>
      <c r="P6" s="12" t="s">
        <v>32</v>
      </c>
      <c r="Q6" s="12" t="s">
        <v>33</v>
      </c>
      <c r="R6" s="12" t="s">
        <v>34</v>
      </c>
      <c r="S6" s="15" t="s">
        <v>35</v>
      </c>
      <c r="T6" s="10"/>
    </row>
    <row r="7" spans="1:20" s="20" customFormat="1" ht="15" customHeight="1" thickBot="1">
      <c r="A7" s="16">
        <v>5046</v>
      </c>
      <c r="B7" s="17" t="s">
        <v>36</v>
      </c>
      <c r="C7" s="17"/>
      <c r="D7" s="17"/>
      <c r="E7" s="17"/>
      <c r="F7" s="17"/>
      <c r="G7" s="18">
        <f>G70</f>
        <v>511897700</v>
      </c>
      <c r="H7" s="17"/>
      <c r="I7" s="17"/>
      <c r="J7" s="17"/>
      <c r="K7" s="18">
        <f>G7+H7+I7+J7</f>
        <v>511897700</v>
      </c>
      <c r="L7" s="17"/>
      <c r="M7" s="17"/>
      <c r="N7" s="18">
        <v>0</v>
      </c>
      <c r="O7" s="18">
        <f>O70</f>
        <v>195922632.12000003</v>
      </c>
      <c r="P7" s="17"/>
      <c r="Q7" s="18">
        <f>Q70</f>
        <v>195922632.12000003</v>
      </c>
      <c r="R7" s="17"/>
      <c r="S7" s="18">
        <f>S70</f>
        <v>182612489.27</v>
      </c>
      <c r="T7" s="19"/>
    </row>
    <row r="8" spans="1:20" s="31" customFormat="1" ht="12.75">
      <c r="A8" s="21" t="s">
        <v>37</v>
      </c>
      <c r="B8" s="22" t="s">
        <v>38</v>
      </c>
      <c r="C8" s="22" t="s">
        <v>39</v>
      </c>
      <c r="D8" s="23"/>
      <c r="E8" s="23"/>
      <c r="F8" s="23"/>
      <c r="G8" s="27">
        <f>SUM(G9:G13)</f>
        <v>42352071</v>
      </c>
      <c r="H8" s="154">
        <f>SUM(H9:H13)</f>
        <v>305000</v>
      </c>
      <c r="I8" s="154">
        <f>SUM(I9:I13)</f>
        <v>-1730000</v>
      </c>
      <c r="J8" s="25">
        <v>0</v>
      </c>
      <c r="K8" s="24">
        <f>SUM(K9:K13)</f>
        <v>40927071</v>
      </c>
      <c r="L8" s="25">
        <v>0</v>
      </c>
      <c r="M8" s="25">
        <v>0</v>
      </c>
      <c r="N8" s="26">
        <f aca="true" t="shared" si="0" ref="N8:N40">K8+L8+M8</f>
        <v>40927071</v>
      </c>
      <c r="O8" s="27">
        <f>O9+O10+O11+O12+O13</f>
        <v>15971052.049999999</v>
      </c>
      <c r="P8" s="28">
        <f>O8/N8*100</f>
        <v>39.02319823961993</v>
      </c>
      <c r="Q8" s="27">
        <f aca="true" t="shared" si="1" ref="Q8:Q40">O8</f>
        <v>15971052.049999999</v>
      </c>
      <c r="R8" s="28">
        <f>Q8/N8*100</f>
        <v>39.02319823961993</v>
      </c>
      <c r="S8" s="29">
        <f>S9+S10+S11+S12+S13</f>
        <v>13405345.539999997</v>
      </c>
      <c r="T8" s="30"/>
    </row>
    <row r="9" spans="1:20" ht="12.75">
      <c r="A9" s="32"/>
      <c r="B9" s="33"/>
      <c r="C9" s="34"/>
      <c r="D9" s="33">
        <v>1</v>
      </c>
      <c r="E9" s="33">
        <v>1</v>
      </c>
      <c r="F9" s="35">
        <v>0</v>
      </c>
      <c r="G9" s="109">
        <f>20000+4886352+301247</f>
        <v>5207599</v>
      </c>
      <c r="H9" s="37">
        <v>0</v>
      </c>
      <c r="I9" s="37">
        <v>0</v>
      </c>
      <c r="J9" s="37">
        <v>0</v>
      </c>
      <c r="K9" s="36">
        <f>G9+H9+I9-J9</f>
        <v>5207599</v>
      </c>
      <c r="L9" s="37">
        <v>0</v>
      </c>
      <c r="M9" s="37">
        <v>0</v>
      </c>
      <c r="N9" s="159">
        <f t="shared" si="0"/>
        <v>5207599</v>
      </c>
      <c r="O9" s="109">
        <f>2819692.31+83973.7</f>
        <v>2903666.0100000002</v>
      </c>
      <c r="P9" s="28">
        <f aca="true" t="shared" si="2" ref="P9:P71">O9/N9*100</f>
        <v>55.75824885902314</v>
      </c>
      <c r="Q9" s="39">
        <f t="shared" si="1"/>
        <v>2903666.0100000002</v>
      </c>
      <c r="R9" s="28">
        <f aca="true" t="shared" si="3" ref="R9:R70">Q9/N9*100</f>
        <v>55.75824885902314</v>
      </c>
      <c r="S9" s="166">
        <f>2819692.31+64586.23+4500</f>
        <v>2888778.54</v>
      </c>
      <c r="T9" s="41"/>
    </row>
    <row r="10" spans="1:20" ht="12.75">
      <c r="A10" s="32"/>
      <c r="B10" s="33"/>
      <c r="C10" s="34"/>
      <c r="D10" s="33">
        <v>1</v>
      </c>
      <c r="E10" s="33">
        <v>3</v>
      </c>
      <c r="F10" s="35">
        <v>0</v>
      </c>
      <c r="G10" s="109">
        <f>9084+1100000+1500+1000000+5500+220000+10000+498000+1000000+18200000+336000+10184400</f>
        <v>32564484</v>
      </c>
      <c r="H10" s="42">
        <v>0</v>
      </c>
      <c r="I10" s="42">
        <f>-1330000</f>
        <v>-1330000</v>
      </c>
      <c r="J10" s="37">
        <v>0</v>
      </c>
      <c r="K10" s="36">
        <f>G10+H10+I10-J10</f>
        <v>31234484</v>
      </c>
      <c r="L10" s="37">
        <v>0</v>
      </c>
      <c r="M10" s="37">
        <v>0</v>
      </c>
      <c r="N10" s="160">
        <f t="shared" si="0"/>
        <v>31234484</v>
      </c>
      <c r="O10" s="109">
        <f>6000+153749.45+781502.33+160000+135755.42+3629550.07+2613841.98+39153.02+2726000</f>
        <v>10245552.27</v>
      </c>
      <c r="P10" s="28">
        <f t="shared" si="2"/>
        <v>32.80205387737476</v>
      </c>
      <c r="Q10" s="39">
        <f t="shared" si="1"/>
        <v>10245552.27</v>
      </c>
      <c r="R10" s="28">
        <f t="shared" si="3"/>
        <v>32.80205387737476</v>
      </c>
      <c r="S10" s="166">
        <f>149917.15+771310.93+50222.11+135329.42+2695489.03+2209574.88+20450.02+2726000</f>
        <v>8758293.54</v>
      </c>
      <c r="T10" s="43"/>
    </row>
    <row r="11" spans="1:20" ht="12.75">
      <c r="A11" s="32"/>
      <c r="B11" s="33"/>
      <c r="C11" s="34"/>
      <c r="D11" s="33">
        <v>1</v>
      </c>
      <c r="E11" s="33">
        <v>4</v>
      </c>
      <c r="F11" s="35">
        <v>0</v>
      </c>
      <c r="G11" s="109">
        <v>1940000</v>
      </c>
      <c r="H11" s="37">
        <v>0</v>
      </c>
      <c r="I11" s="37">
        <v>0</v>
      </c>
      <c r="J11" s="37">
        <v>0</v>
      </c>
      <c r="K11" s="36">
        <v>1940000</v>
      </c>
      <c r="L11" s="37">
        <v>0</v>
      </c>
      <c r="M11" s="37">
        <v>0</v>
      </c>
      <c r="N11" s="160">
        <f t="shared" si="0"/>
        <v>1940000</v>
      </c>
      <c r="O11" s="38">
        <v>1026366.68</v>
      </c>
      <c r="P11" s="28">
        <f t="shared" si="2"/>
        <v>52.90549896907216</v>
      </c>
      <c r="Q11" s="39">
        <f t="shared" si="1"/>
        <v>1026366.68</v>
      </c>
      <c r="R11" s="28">
        <f t="shared" si="3"/>
        <v>52.90549896907216</v>
      </c>
      <c r="S11" s="166">
        <v>113753.65</v>
      </c>
      <c r="T11" s="43"/>
    </row>
    <row r="12" spans="1:20" ht="12.75">
      <c r="A12" s="32"/>
      <c r="B12" s="33"/>
      <c r="C12" s="34"/>
      <c r="D12" s="33">
        <v>1</v>
      </c>
      <c r="E12" s="33">
        <v>3</v>
      </c>
      <c r="F12" s="33">
        <v>70</v>
      </c>
      <c r="G12" s="109">
        <f>2000+1000000+400000+2000+50000+2000+20000+332488+51500+280000</f>
        <v>2139988</v>
      </c>
      <c r="H12" s="42">
        <v>305000</v>
      </c>
      <c r="I12" s="37">
        <v>0</v>
      </c>
      <c r="J12" s="37">
        <v>0</v>
      </c>
      <c r="K12" s="36">
        <f>G12+H12+I12-J12</f>
        <v>2444988</v>
      </c>
      <c r="L12" s="37">
        <v>0</v>
      </c>
      <c r="M12" s="37">
        <v>0</v>
      </c>
      <c r="N12" s="160">
        <f t="shared" si="0"/>
        <v>2444988</v>
      </c>
      <c r="O12" s="38">
        <f>958403.64+228408.98+26802.18+495073.07+1542.03</f>
        <v>1710229.9000000001</v>
      </c>
      <c r="P12" s="28">
        <f t="shared" si="2"/>
        <v>69.94839647474753</v>
      </c>
      <c r="Q12" s="39">
        <f t="shared" si="1"/>
        <v>1710229.9000000001</v>
      </c>
      <c r="R12" s="28">
        <f t="shared" si="3"/>
        <v>69.94839647474753</v>
      </c>
      <c r="S12" s="166">
        <f>926595.89+194053.64+24402.18+414848.25+1462.66</f>
        <v>1561362.6199999999</v>
      </c>
      <c r="T12" s="44"/>
    </row>
    <row r="13" spans="1:20" ht="12.75">
      <c r="A13" s="32"/>
      <c r="B13" s="33"/>
      <c r="C13" s="34"/>
      <c r="D13" s="33">
        <v>1</v>
      </c>
      <c r="E13" s="33">
        <v>4</v>
      </c>
      <c r="F13" s="33">
        <v>70</v>
      </c>
      <c r="G13" s="109">
        <v>500000</v>
      </c>
      <c r="H13" s="37">
        <v>0</v>
      </c>
      <c r="I13" s="42">
        <f>-400000</f>
        <v>-400000</v>
      </c>
      <c r="J13" s="37">
        <v>0</v>
      </c>
      <c r="K13" s="36">
        <f>G13+H13+I13-J13</f>
        <v>100000</v>
      </c>
      <c r="L13" s="37">
        <v>0</v>
      </c>
      <c r="M13" s="37">
        <v>0</v>
      </c>
      <c r="N13" s="160">
        <f t="shared" si="0"/>
        <v>100000</v>
      </c>
      <c r="O13" s="38">
        <v>85237.19</v>
      </c>
      <c r="P13" s="28">
        <f t="shared" si="2"/>
        <v>85.23719000000001</v>
      </c>
      <c r="Q13" s="39">
        <f t="shared" si="1"/>
        <v>85237.19</v>
      </c>
      <c r="R13" s="28">
        <f t="shared" si="3"/>
        <v>85.23719000000001</v>
      </c>
      <c r="S13" s="166">
        <v>83157.19</v>
      </c>
      <c r="T13" s="45"/>
    </row>
    <row r="14" spans="1:20" ht="12.75">
      <c r="A14" s="32" t="s">
        <v>40</v>
      </c>
      <c r="B14" s="33" t="s">
        <v>41</v>
      </c>
      <c r="C14" s="33" t="s">
        <v>39</v>
      </c>
      <c r="D14" s="34"/>
      <c r="E14" s="34"/>
      <c r="F14" s="34"/>
      <c r="G14" s="49">
        <f>G15+G16</f>
        <v>5772500</v>
      </c>
      <c r="H14" s="47">
        <f>SUM(H15:H16)</f>
        <v>0</v>
      </c>
      <c r="I14" s="153">
        <f>SUM(I15:I16)</f>
        <v>-15000</v>
      </c>
      <c r="J14" s="47">
        <v>0</v>
      </c>
      <c r="K14" s="46">
        <f>G14+H14+I14-J14</f>
        <v>5757500</v>
      </c>
      <c r="L14" s="47">
        <v>0</v>
      </c>
      <c r="M14" s="47">
        <v>0</v>
      </c>
      <c r="N14" s="48">
        <f t="shared" si="0"/>
        <v>5757500</v>
      </c>
      <c r="O14" s="49">
        <f>O15+O16</f>
        <v>226321.95</v>
      </c>
      <c r="P14" s="28">
        <f t="shared" si="2"/>
        <v>3.930906643508467</v>
      </c>
      <c r="Q14" s="50">
        <f t="shared" si="1"/>
        <v>226321.95</v>
      </c>
      <c r="R14" s="28">
        <f t="shared" si="3"/>
        <v>3.930906643508467</v>
      </c>
      <c r="S14" s="51">
        <f>S15+S16</f>
        <v>153863.16</v>
      </c>
      <c r="T14" s="45"/>
    </row>
    <row r="15" spans="1:20" ht="12.75">
      <c r="A15" s="32"/>
      <c r="B15" s="33"/>
      <c r="C15" s="33"/>
      <c r="D15" s="33">
        <v>1</v>
      </c>
      <c r="E15" s="33">
        <v>3</v>
      </c>
      <c r="F15" s="35">
        <v>0</v>
      </c>
      <c r="G15" s="109">
        <f>70000+5500+22000+5635000</f>
        <v>5732500</v>
      </c>
      <c r="H15" s="37">
        <v>0</v>
      </c>
      <c r="I15" s="37">
        <v>0</v>
      </c>
      <c r="J15" s="37">
        <v>0</v>
      </c>
      <c r="K15" s="36">
        <v>5732500</v>
      </c>
      <c r="L15" s="37">
        <v>0</v>
      </c>
      <c r="M15" s="37">
        <v>0</v>
      </c>
      <c r="N15" s="161">
        <f t="shared" si="0"/>
        <v>5732500</v>
      </c>
      <c r="O15" s="38">
        <f>29038.1+1209.81+188394.04</f>
        <v>218641.95</v>
      </c>
      <c r="P15" s="52">
        <v>0</v>
      </c>
      <c r="Q15" s="39">
        <f t="shared" si="1"/>
        <v>218641.95</v>
      </c>
      <c r="R15" s="28">
        <v>0</v>
      </c>
      <c r="S15" s="166">
        <f>28659+1209.81+116314.35</f>
        <v>146183.16</v>
      </c>
      <c r="T15" s="44"/>
    </row>
    <row r="16" spans="1:20" ht="12.75">
      <c r="A16" s="32"/>
      <c r="B16" s="33"/>
      <c r="C16" s="33"/>
      <c r="D16" s="33">
        <v>1</v>
      </c>
      <c r="E16" s="33">
        <v>3</v>
      </c>
      <c r="F16" s="33">
        <v>70</v>
      </c>
      <c r="G16" s="109">
        <f>10000+10000+10000+10000</f>
        <v>40000</v>
      </c>
      <c r="H16" s="37">
        <v>0</v>
      </c>
      <c r="I16" s="42">
        <f>-15000</f>
        <v>-15000</v>
      </c>
      <c r="J16" s="37">
        <v>0</v>
      </c>
      <c r="K16" s="36">
        <f>G16+H16+I16</f>
        <v>25000</v>
      </c>
      <c r="L16" s="37">
        <v>0</v>
      </c>
      <c r="M16" s="37">
        <v>0</v>
      </c>
      <c r="N16" s="161">
        <f t="shared" si="0"/>
        <v>25000</v>
      </c>
      <c r="O16" s="38">
        <f>7680</f>
        <v>7680</v>
      </c>
      <c r="P16" s="53">
        <v>0</v>
      </c>
      <c r="Q16" s="39">
        <f t="shared" si="1"/>
        <v>7680</v>
      </c>
      <c r="R16" s="53">
        <v>0</v>
      </c>
      <c r="S16" s="166">
        <f>7680</f>
        <v>7680</v>
      </c>
      <c r="T16" s="54"/>
    </row>
    <row r="17" spans="1:20" ht="12.75">
      <c r="A17" s="32" t="s">
        <v>42</v>
      </c>
      <c r="B17" s="33" t="s">
        <v>43</v>
      </c>
      <c r="C17" s="33" t="s">
        <v>39</v>
      </c>
      <c r="D17" s="33"/>
      <c r="E17" s="33"/>
      <c r="F17" s="33"/>
      <c r="G17" s="49">
        <f>G18+G19</f>
        <v>7243492</v>
      </c>
      <c r="H17" s="153">
        <f>SUM(H18:H19)</f>
        <v>300000</v>
      </c>
      <c r="I17" s="47">
        <f>SUM(I18:I19)</f>
        <v>0</v>
      </c>
      <c r="J17" s="47">
        <v>0</v>
      </c>
      <c r="K17" s="46">
        <f>G17+H17+I17-J17</f>
        <v>7543492</v>
      </c>
      <c r="L17" s="47">
        <v>0</v>
      </c>
      <c r="M17" s="47">
        <v>0</v>
      </c>
      <c r="N17" s="48">
        <f t="shared" si="0"/>
        <v>7543492</v>
      </c>
      <c r="O17" s="55">
        <f>O18+O19</f>
        <v>3018040.9699999997</v>
      </c>
      <c r="P17" s="28">
        <f t="shared" si="2"/>
        <v>40.00853941384175</v>
      </c>
      <c r="Q17" s="50">
        <f t="shared" si="1"/>
        <v>3018040.9699999997</v>
      </c>
      <c r="R17" s="28">
        <f t="shared" si="3"/>
        <v>40.00853941384175</v>
      </c>
      <c r="S17" s="51">
        <f>SUM(S18:S19)</f>
        <v>3018028.77</v>
      </c>
      <c r="T17" s="44"/>
    </row>
    <row r="18" spans="1:20" ht="12.75">
      <c r="A18" s="32"/>
      <c r="B18" s="33"/>
      <c r="C18" s="33"/>
      <c r="D18" s="33">
        <v>1</v>
      </c>
      <c r="E18" s="33">
        <v>3</v>
      </c>
      <c r="F18" s="35">
        <v>0</v>
      </c>
      <c r="G18" s="109">
        <f>6243492</f>
        <v>6243492</v>
      </c>
      <c r="H18" s="37">
        <v>0</v>
      </c>
      <c r="I18" s="37">
        <v>0</v>
      </c>
      <c r="J18" s="37">
        <v>0</v>
      </c>
      <c r="K18" s="36">
        <v>6243492</v>
      </c>
      <c r="L18" s="37">
        <v>0</v>
      </c>
      <c r="M18" s="37">
        <v>0</v>
      </c>
      <c r="N18" s="161">
        <f t="shared" si="0"/>
        <v>6243492</v>
      </c>
      <c r="O18" s="38">
        <f>2039285.69</f>
        <v>2039285.69</v>
      </c>
      <c r="P18" s="28">
        <v>0</v>
      </c>
      <c r="Q18" s="39">
        <f t="shared" si="1"/>
        <v>2039285.69</v>
      </c>
      <c r="R18" s="28">
        <v>0</v>
      </c>
      <c r="S18" s="166">
        <v>2039273.49</v>
      </c>
      <c r="T18" s="44"/>
    </row>
    <row r="19" spans="1:20" ht="12.75">
      <c r="A19" s="32"/>
      <c r="B19" s="33"/>
      <c r="C19" s="33"/>
      <c r="D19" s="33">
        <v>1</v>
      </c>
      <c r="E19" s="33">
        <v>3</v>
      </c>
      <c r="F19" s="33">
        <v>70</v>
      </c>
      <c r="G19" s="109">
        <f>1000000</f>
        <v>1000000</v>
      </c>
      <c r="H19" s="42">
        <v>300000</v>
      </c>
      <c r="I19" s="37">
        <v>0</v>
      </c>
      <c r="J19" s="37">
        <v>0</v>
      </c>
      <c r="K19" s="36">
        <f>G19+H19+I19</f>
        <v>1300000</v>
      </c>
      <c r="L19" s="37">
        <v>0</v>
      </c>
      <c r="M19" s="37">
        <v>0</v>
      </c>
      <c r="N19" s="161">
        <f t="shared" si="0"/>
        <v>1300000</v>
      </c>
      <c r="O19" s="38">
        <v>978755.28</v>
      </c>
      <c r="P19" s="28">
        <v>0</v>
      </c>
      <c r="Q19" s="39">
        <f t="shared" si="1"/>
        <v>978755.28</v>
      </c>
      <c r="R19" s="28">
        <v>0</v>
      </c>
      <c r="S19" s="166">
        <v>978755.28</v>
      </c>
      <c r="T19" s="54"/>
    </row>
    <row r="20" spans="1:20" ht="12.75">
      <c r="A20" s="32" t="s">
        <v>44</v>
      </c>
      <c r="B20" s="57" t="s">
        <v>45</v>
      </c>
      <c r="C20" s="33" t="s">
        <v>39</v>
      </c>
      <c r="D20" s="33"/>
      <c r="E20" s="33"/>
      <c r="F20" s="35"/>
      <c r="G20" s="110">
        <f>G21+G22</f>
        <v>615000</v>
      </c>
      <c r="H20" s="47">
        <f>SUM(H21:H22)</f>
        <v>0</v>
      </c>
      <c r="I20" s="47">
        <f>SUM(I21:I22)</f>
        <v>0</v>
      </c>
      <c r="J20" s="47">
        <v>0</v>
      </c>
      <c r="K20" s="46">
        <f>G20+H20+I20-J20</f>
        <v>615000</v>
      </c>
      <c r="L20" s="47">
        <v>0</v>
      </c>
      <c r="M20" s="47">
        <v>0</v>
      </c>
      <c r="N20" s="48">
        <f t="shared" si="0"/>
        <v>615000</v>
      </c>
      <c r="O20" s="58">
        <f>O21+O22</f>
        <v>211912.64</v>
      </c>
      <c r="P20" s="28">
        <f t="shared" si="2"/>
        <v>34.45733983739838</v>
      </c>
      <c r="Q20" s="50">
        <f t="shared" si="1"/>
        <v>211912.64</v>
      </c>
      <c r="R20" s="28">
        <f t="shared" si="3"/>
        <v>34.45733983739838</v>
      </c>
      <c r="S20" s="59">
        <f>S21+S22</f>
        <v>192590.5</v>
      </c>
      <c r="T20" s="44"/>
    </row>
    <row r="21" spans="1:20" ht="12.75">
      <c r="A21" s="32"/>
      <c r="B21" s="57"/>
      <c r="C21" s="33"/>
      <c r="D21" s="33">
        <v>1</v>
      </c>
      <c r="E21" s="33">
        <v>3</v>
      </c>
      <c r="F21" s="35">
        <v>0</v>
      </c>
      <c r="G21" s="36">
        <f>270000+335000</f>
        <v>605000</v>
      </c>
      <c r="H21" s="60">
        <v>0</v>
      </c>
      <c r="I21" s="60">
        <v>0</v>
      </c>
      <c r="J21" s="60">
        <v>0</v>
      </c>
      <c r="K21" s="36">
        <v>605000</v>
      </c>
      <c r="L21" s="60">
        <v>0</v>
      </c>
      <c r="M21" s="60">
        <v>0</v>
      </c>
      <c r="N21" s="161">
        <f>K21+L21+M21</f>
        <v>605000</v>
      </c>
      <c r="O21" s="61">
        <f>77299.39+134613.25</f>
        <v>211912.64</v>
      </c>
      <c r="P21" s="28">
        <f t="shared" si="2"/>
        <v>35.0268826446281</v>
      </c>
      <c r="Q21" s="62">
        <f t="shared" si="1"/>
        <v>211912.64</v>
      </c>
      <c r="R21" s="28">
        <f t="shared" si="3"/>
        <v>35.0268826446281</v>
      </c>
      <c r="S21" s="167">
        <f>67119.9+125470.6</f>
        <v>192590.5</v>
      </c>
      <c r="T21" s="44"/>
    </row>
    <row r="22" spans="1:20" ht="12.75">
      <c r="A22" s="32"/>
      <c r="B22" s="57"/>
      <c r="C22" s="64" t="s">
        <v>46</v>
      </c>
      <c r="D22" s="33">
        <v>1</v>
      </c>
      <c r="E22" s="33">
        <v>3</v>
      </c>
      <c r="F22" s="35">
        <v>70</v>
      </c>
      <c r="G22" s="36">
        <f>5000+5000</f>
        <v>10000</v>
      </c>
      <c r="H22" s="60">
        <v>0</v>
      </c>
      <c r="I22" s="60">
        <v>0</v>
      </c>
      <c r="J22" s="60">
        <v>0</v>
      </c>
      <c r="K22" s="36">
        <v>10000</v>
      </c>
      <c r="L22" s="60">
        <v>0</v>
      </c>
      <c r="M22" s="60">
        <v>0</v>
      </c>
      <c r="N22" s="161">
        <f>K22+L22+M22</f>
        <v>10000</v>
      </c>
      <c r="O22" s="62">
        <f>0</f>
        <v>0</v>
      </c>
      <c r="P22" s="28">
        <f t="shared" si="2"/>
        <v>0</v>
      </c>
      <c r="Q22" s="62">
        <f t="shared" si="1"/>
        <v>0</v>
      </c>
      <c r="R22" s="28">
        <f t="shared" si="3"/>
        <v>0</v>
      </c>
      <c r="S22" s="63">
        <v>0</v>
      </c>
      <c r="T22" s="44"/>
    </row>
    <row r="23" spans="1:20" ht="12.75">
      <c r="A23" s="32" t="s">
        <v>47</v>
      </c>
      <c r="B23" s="57" t="s">
        <v>48</v>
      </c>
      <c r="C23" s="33" t="s">
        <v>39</v>
      </c>
      <c r="D23" s="33">
        <v>1</v>
      </c>
      <c r="E23" s="33">
        <v>1</v>
      </c>
      <c r="F23" s="35">
        <v>1</v>
      </c>
      <c r="G23" s="46">
        <f>231639+255621361+3757634+49922852</f>
        <v>309533486</v>
      </c>
      <c r="H23" s="47">
        <f>SUM(H24:H25)</f>
        <v>0</v>
      </c>
      <c r="I23" s="47">
        <v>0</v>
      </c>
      <c r="J23" s="47">
        <v>0</v>
      </c>
      <c r="K23" s="46">
        <f>231639+255621361+3757634+49922852</f>
        <v>309533486</v>
      </c>
      <c r="L23" s="47">
        <v>0</v>
      </c>
      <c r="M23" s="47">
        <v>0</v>
      </c>
      <c r="N23" s="162">
        <f t="shared" si="0"/>
        <v>309533486</v>
      </c>
      <c r="O23" s="55">
        <f>29383.44+104435643.8+1153437.7+20196510.63</f>
        <v>125814975.57</v>
      </c>
      <c r="P23" s="28">
        <f t="shared" si="2"/>
        <v>40.64664446999443</v>
      </c>
      <c r="Q23" s="50">
        <f t="shared" si="1"/>
        <v>125814975.57</v>
      </c>
      <c r="R23" s="28">
        <f t="shared" si="3"/>
        <v>40.64664446999443</v>
      </c>
      <c r="S23" s="168">
        <f>29383.44+96401868.18+1152695.55+18429434.83</f>
        <v>116013382</v>
      </c>
      <c r="T23" s="54"/>
    </row>
    <row r="24" spans="1:20" ht="12.75">
      <c r="A24" s="32" t="s">
        <v>49</v>
      </c>
      <c r="B24" s="57" t="s">
        <v>50</v>
      </c>
      <c r="C24" s="33" t="s">
        <v>51</v>
      </c>
      <c r="D24" s="34"/>
      <c r="E24" s="34"/>
      <c r="F24" s="34"/>
      <c r="G24" s="49">
        <f>G25+G26+G27+G28</f>
        <v>12225920</v>
      </c>
      <c r="H24" s="47">
        <f>SUM(H25:H28)</f>
        <v>0</v>
      </c>
      <c r="I24" s="153">
        <f>SUM(I25:I28)</f>
        <v>-100000</v>
      </c>
      <c r="J24" s="47">
        <v>0</v>
      </c>
      <c r="K24" s="46">
        <f>G24+H24+I24-J24</f>
        <v>12125920</v>
      </c>
      <c r="L24" s="47">
        <v>0</v>
      </c>
      <c r="M24" s="47">
        <v>0</v>
      </c>
      <c r="N24" s="48">
        <f t="shared" si="0"/>
        <v>12125920</v>
      </c>
      <c r="O24" s="49">
        <f>O25+O26+O27+O28</f>
        <v>1560535.62</v>
      </c>
      <c r="P24" s="28">
        <f t="shared" si="2"/>
        <v>12.869420382123584</v>
      </c>
      <c r="Q24" s="50">
        <f t="shared" si="1"/>
        <v>1560535.62</v>
      </c>
      <c r="R24" s="28">
        <f t="shared" si="3"/>
        <v>12.869420382123584</v>
      </c>
      <c r="S24" s="51">
        <f>SUM(S25:S28)</f>
        <v>1434615.46</v>
      </c>
      <c r="T24" s="54"/>
    </row>
    <row r="25" spans="1:20" ht="12.75">
      <c r="A25" s="32"/>
      <c r="B25" s="33"/>
      <c r="C25" s="33"/>
      <c r="D25" s="33">
        <v>1</v>
      </c>
      <c r="E25" s="33">
        <v>3</v>
      </c>
      <c r="F25" s="35">
        <v>0</v>
      </c>
      <c r="G25" s="36">
        <f>175000+270920+10000+1000000</f>
        <v>1455920</v>
      </c>
      <c r="H25" s="37">
        <v>0</v>
      </c>
      <c r="I25" s="37">
        <v>0</v>
      </c>
      <c r="J25" s="37">
        <v>0</v>
      </c>
      <c r="K25" s="36">
        <f>175000+270920+10000+1000000</f>
        <v>1455920</v>
      </c>
      <c r="L25" s="37">
        <v>0</v>
      </c>
      <c r="M25" s="37">
        <v>0</v>
      </c>
      <c r="N25" s="161">
        <f t="shared" si="0"/>
        <v>1455920</v>
      </c>
      <c r="O25" s="38">
        <v>308</v>
      </c>
      <c r="P25" s="28">
        <v>0</v>
      </c>
      <c r="Q25" s="39">
        <f>308.2</f>
        <v>308.2</v>
      </c>
      <c r="R25" s="28">
        <v>0</v>
      </c>
      <c r="S25" s="166">
        <v>308.2</v>
      </c>
      <c r="T25" s="65"/>
    </row>
    <row r="26" spans="1:20" ht="12.75">
      <c r="A26" s="32"/>
      <c r="B26" s="33"/>
      <c r="C26" s="33"/>
      <c r="D26" s="33">
        <v>1</v>
      </c>
      <c r="E26" s="33">
        <v>4</v>
      </c>
      <c r="F26" s="35">
        <v>0</v>
      </c>
      <c r="G26" s="36">
        <v>200000</v>
      </c>
      <c r="H26" s="37">
        <v>0</v>
      </c>
      <c r="I26" s="37">
        <v>0</v>
      </c>
      <c r="J26" s="37">
        <v>0</v>
      </c>
      <c r="K26" s="36">
        <v>200000</v>
      </c>
      <c r="L26" s="37">
        <v>0</v>
      </c>
      <c r="M26" s="37">
        <v>0</v>
      </c>
      <c r="N26" s="161">
        <f t="shared" si="0"/>
        <v>200000</v>
      </c>
      <c r="O26" s="38"/>
      <c r="P26" s="28">
        <v>0</v>
      </c>
      <c r="Q26" s="39">
        <f t="shared" si="1"/>
        <v>0</v>
      </c>
      <c r="R26" s="28">
        <v>0</v>
      </c>
      <c r="S26" s="40">
        <v>0</v>
      </c>
      <c r="T26" s="44"/>
    </row>
    <row r="27" spans="1:20" ht="12.75">
      <c r="A27" s="32"/>
      <c r="B27" s="33"/>
      <c r="C27" s="33"/>
      <c r="D27" s="33">
        <v>1</v>
      </c>
      <c r="E27" s="33">
        <v>3</v>
      </c>
      <c r="F27" s="33">
        <v>70</v>
      </c>
      <c r="G27" s="36">
        <f>100000+250000+20000+8000000</f>
        <v>8370000</v>
      </c>
      <c r="H27" s="37">
        <v>0</v>
      </c>
      <c r="I27" s="42">
        <f>-100000</f>
        <v>-100000</v>
      </c>
      <c r="J27" s="37">
        <v>0</v>
      </c>
      <c r="K27" s="36">
        <f>G27+H27+I27-J27</f>
        <v>8270000</v>
      </c>
      <c r="L27" s="37">
        <v>0</v>
      </c>
      <c r="M27" s="37">
        <v>0</v>
      </c>
      <c r="N27" s="161">
        <f t="shared" si="0"/>
        <v>8270000</v>
      </c>
      <c r="O27" s="38">
        <f>62553.7+29329.8+1460687.32</f>
        <v>1552570.82</v>
      </c>
      <c r="P27" s="28">
        <v>0</v>
      </c>
      <c r="Q27" s="39">
        <f t="shared" si="1"/>
        <v>1552570.82</v>
      </c>
      <c r="R27" s="28">
        <v>0</v>
      </c>
      <c r="S27" s="166">
        <f>62553.7+28329.8+1343423.76</f>
        <v>1434307.26</v>
      </c>
      <c r="T27" s="44"/>
    </row>
    <row r="28" spans="1:20" ht="12.75">
      <c r="A28" s="32"/>
      <c r="B28" s="33"/>
      <c r="C28" s="33"/>
      <c r="D28" s="33">
        <v>1</v>
      </c>
      <c r="E28" s="33">
        <v>4</v>
      </c>
      <c r="F28" s="33">
        <v>70</v>
      </c>
      <c r="G28" s="36">
        <v>2200000</v>
      </c>
      <c r="H28" s="37">
        <v>0</v>
      </c>
      <c r="I28" s="37">
        <v>0</v>
      </c>
      <c r="J28" s="37">
        <v>0</v>
      </c>
      <c r="K28" s="36">
        <v>2200000</v>
      </c>
      <c r="L28" s="37">
        <v>0</v>
      </c>
      <c r="M28" s="37">
        <v>0</v>
      </c>
      <c r="N28" s="161">
        <f t="shared" si="0"/>
        <v>2200000</v>
      </c>
      <c r="O28" s="38">
        <v>7656.8</v>
      </c>
      <c r="P28" s="28">
        <v>0</v>
      </c>
      <c r="Q28" s="39">
        <f t="shared" si="1"/>
        <v>7656.8</v>
      </c>
      <c r="R28" s="28">
        <v>0</v>
      </c>
      <c r="S28" s="40">
        <v>0</v>
      </c>
      <c r="T28" s="44"/>
    </row>
    <row r="29" spans="1:20" ht="12.75">
      <c r="A29" s="32" t="s">
        <v>52</v>
      </c>
      <c r="B29" s="33" t="s">
        <v>53</v>
      </c>
      <c r="C29" s="33" t="s">
        <v>39</v>
      </c>
      <c r="D29" s="33"/>
      <c r="E29" s="33"/>
      <c r="F29" s="33"/>
      <c r="G29" s="49">
        <f>G30+G31</f>
        <v>1309000</v>
      </c>
      <c r="H29" s="47">
        <f>SUM(H30:H31)</f>
        <v>0</v>
      </c>
      <c r="I29" s="153">
        <f>SUM(I30:I31)</f>
        <v>-90000</v>
      </c>
      <c r="J29" s="47">
        <v>0</v>
      </c>
      <c r="K29" s="46">
        <f>G29+H29+I29-J29</f>
        <v>1219000</v>
      </c>
      <c r="L29" s="47">
        <v>0</v>
      </c>
      <c r="M29" s="47">
        <v>0</v>
      </c>
      <c r="N29" s="48">
        <f t="shared" si="0"/>
        <v>1219000</v>
      </c>
      <c r="O29" s="49">
        <f>O30+O31</f>
        <v>216284.4</v>
      </c>
      <c r="P29" s="28">
        <f t="shared" si="2"/>
        <v>17.742772764561117</v>
      </c>
      <c r="Q29" s="50">
        <f t="shared" si="1"/>
        <v>216284.4</v>
      </c>
      <c r="R29" s="28">
        <f t="shared" si="3"/>
        <v>17.742772764561117</v>
      </c>
      <c r="S29" s="59">
        <f>S30+S31+S32+S33+S34</f>
        <v>209897.54</v>
      </c>
      <c r="T29" s="66"/>
    </row>
    <row r="30" spans="1:20" ht="12.75">
      <c r="A30" s="32"/>
      <c r="B30" s="33"/>
      <c r="C30" s="33"/>
      <c r="D30" s="33">
        <v>1</v>
      </c>
      <c r="E30" s="33">
        <v>3</v>
      </c>
      <c r="F30" s="35">
        <v>0</v>
      </c>
      <c r="G30" s="36">
        <f>198000+550000+11000+385000</f>
        <v>1144000</v>
      </c>
      <c r="H30" s="37">
        <v>0</v>
      </c>
      <c r="I30" s="37">
        <v>0</v>
      </c>
      <c r="J30" s="37">
        <v>0</v>
      </c>
      <c r="K30" s="36">
        <f>198000+550000+11000+385000</f>
        <v>1144000</v>
      </c>
      <c r="L30" s="37">
        <v>0</v>
      </c>
      <c r="M30" s="37">
        <v>0</v>
      </c>
      <c r="N30" s="161">
        <f t="shared" si="0"/>
        <v>1144000</v>
      </c>
      <c r="O30" s="38">
        <v>175422</v>
      </c>
      <c r="P30" s="28">
        <v>0</v>
      </c>
      <c r="Q30" s="39">
        <f>78071.99+78946.56+17515.89+887.39</f>
        <v>175421.83000000002</v>
      </c>
      <c r="R30" s="28">
        <v>0</v>
      </c>
      <c r="S30" s="166">
        <f>77292.39+74082.27+16773.09+887.39</f>
        <v>169035.14</v>
      </c>
      <c r="T30" s="44"/>
    </row>
    <row r="31" spans="1:20" ht="12.75">
      <c r="A31" s="32"/>
      <c r="B31" s="33"/>
      <c r="C31" s="33"/>
      <c r="D31" s="33">
        <v>1</v>
      </c>
      <c r="E31" s="33">
        <v>3</v>
      </c>
      <c r="F31" s="33">
        <v>70</v>
      </c>
      <c r="G31" s="36">
        <f>50000+10000+5000+100000</f>
        <v>165000</v>
      </c>
      <c r="H31" s="37">
        <v>0</v>
      </c>
      <c r="I31" s="42">
        <f>-90000</f>
        <v>-90000</v>
      </c>
      <c r="J31" s="37">
        <v>0</v>
      </c>
      <c r="K31" s="36">
        <f>G31+H31+I31-J31</f>
        <v>75000</v>
      </c>
      <c r="L31" s="37">
        <v>0</v>
      </c>
      <c r="M31" s="37">
        <v>0</v>
      </c>
      <c r="N31" s="161">
        <f t="shared" si="0"/>
        <v>75000</v>
      </c>
      <c r="O31" s="38">
        <f>40862.4</f>
        <v>40862.4</v>
      </c>
      <c r="P31" s="28">
        <v>0</v>
      </c>
      <c r="Q31" s="39">
        <f t="shared" si="1"/>
        <v>40862.4</v>
      </c>
      <c r="R31" s="28">
        <v>0</v>
      </c>
      <c r="S31" s="166">
        <v>40862.4</v>
      </c>
      <c r="T31" s="66"/>
    </row>
    <row r="32" spans="1:20" ht="12.75">
      <c r="A32" s="32" t="s">
        <v>54</v>
      </c>
      <c r="B32" s="57" t="s">
        <v>55</v>
      </c>
      <c r="C32" s="33" t="s">
        <v>39</v>
      </c>
      <c r="D32" s="33"/>
      <c r="E32" s="33"/>
      <c r="F32" s="33"/>
      <c r="G32" s="49">
        <f>G33+G34</f>
        <v>450000</v>
      </c>
      <c r="H32" s="153">
        <f>SUM(H33:H34)</f>
        <v>2880000</v>
      </c>
      <c r="I32" s="47">
        <f>SUM(I33:I34)</f>
        <v>0</v>
      </c>
      <c r="J32" s="47">
        <v>0</v>
      </c>
      <c r="K32" s="46">
        <f>SUM(K33:K34)</f>
        <v>3330000</v>
      </c>
      <c r="L32" s="47">
        <v>0</v>
      </c>
      <c r="M32" s="47">
        <v>0</v>
      </c>
      <c r="N32" s="48">
        <f t="shared" si="0"/>
        <v>3330000</v>
      </c>
      <c r="O32" s="49">
        <f>O33+O34</f>
        <v>0</v>
      </c>
      <c r="P32" s="28">
        <f t="shared" si="2"/>
        <v>0</v>
      </c>
      <c r="Q32" s="50">
        <f t="shared" si="1"/>
        <v>0</v>
      </c>
      <c r="R32" s="28">
        <f t="shared" si="3"/>
        <v>0</v>
      </c>
      <c r="S32" s="56">
        <v>0</v>
      </c>
      <c r="T32" s="66"/>
    </row>
    <row r="33" spans="1:20" ht="12.75">
      <c r="A33" s="32"/>
      <c r="B33" s="33"/>
      <c r="C33" s="33"/>
      <c r="D33" s="33">
        <v>1</v>
      </c>
      <c r="E33" s="33">
        <v>4</v>
      </c>
      <c r="F33" s="35">
        <v>0</v>
      </c>
      <c r="G33" s="36">
        <v>250000</v>
      </c>
      <c r="H33" s="42">
        <v>1330000</v>
      </c>
      <c r="I33" s="37">
        <v>0</v>
      </c>
      <c r="J33" s="37">
        <v>0</v>
      </c>
      <c r="K33" s="36">
        <f>G33+H33</f>
        <v>1580000</v>
      </c>
      <c r="L33" s="37">
        <v>0</v>
      </c>
      <c r="M33" s="37">
        <v>0</v>
      </c>
      <c r="N33" s="161">
        <f t="shared" si="0"/>
        <v>1580000</v>
      </c>
      <c r="O33" s="38">
        <f>0</f>
        <v>0</v>
      </c>
      <c r="P33" s="28">
        <v>0</v>
      </c>
      <c r="Q33" s="39">
        <f t="shared" si="1"/>
        <v>0</v>
      </c>
      <c r="R33" s="28">
        <v>0</v>
      </c>
      <c r="S33" s="40">
        <v>0</v>
      </c>
      <c r="T33" s="66"/>
    </row>
    <row r="34" spans="1:20" ht="12.75">
      <c r="A34" s="32"/>
      <c r="B34" s="57"/>
      <c r="C34" s="33"/>
      <c r="D34" s="33">
        <v>1</v>
      </c>
      <c r="E34" s="33">
        <v>4</v>
      </c>
      <c r="F34" s="33">
        <v>70</v>
      </c>
      <c r="G34" s="36">
        <v>200000</v>
      </c>
      <c r="H34" s="42">
        <v>1550000</v>
      </c>
      <c r="I34" s="37">
        <v>0</v>
      </c>
      <c r="J34" s="37">
        <v>0</v>
      </c>
      <c r="K34" s="36">
        <f>G34+H34</f>
        <v>1750000</v>
      </c>
      <c r="L34" s="37">
        <v>0</v>
      </c>
      <c r="M34" s="37">
        <v>0</v>
      </c>
      <c r="N34" s="161">
        <f t="shared" si="0"/>
        <v>1750000</v>
      </c>
      <c r="O34" s="38">
        <v>0</v>
      </c>
      <c r="P34" s="28">
        <v>0</v>
      </c>
      <c r="Q34" s="39">
        <f t="shared" si="1"/>
        <v>0</v>
      </c>
      <c r="R34" s="28">
        <v>0</v>
      </c>
      <c r="S34" s="40">
        <v>0</v>
      </c>
      <c r="T34" s="44"/>
    </row>
    <row r="35" spans="1:20" ht="12.75">
      <c r="A35" s="32" t="s">
        <v>56</v>
      </c>
      <c r="B35" s="57" t="s">
        <v>57</v>
      </c>
      <c r="C35" s="33" t="s">
        <v>39</v>
      </c>
      <c r="D35" s="34"/>
      <c r="E35" s="34"/>
      <c r="F35" s="34"/>
      <c r="G35" s="49">
        <f>G36+G37</f>
        <v>3078200</v>
      </c>
      <c r="H35" s="153">
        <f>SUM(H36:H37)</f>
        <v>3640000</v>
      </c>
      <c r="I35" s="47">
        <f>SUM(I36:I37)</f>
        <v>0</v>
      </c>
      <c r="J35" s="47">
        <v>0</v>
      </c>
      <c r="K35" s="46">
        <f>SUM(K36:K37)</f>
        <v>6718200</v>
      </c>
      <c r="L35" s="47">
        <v>0</v>
      </c>
      <c r="M35" s="47">
        <v>0</v>
      </c>
      <c r="N35" s="48">
        <f t="shared" si="0"/>
        <v>6718200</v>
      </c>
      <c r="O35" s="49">
        <f>O36+O37</f>
        <v>2581864.7800000003</v>
      </c>
      <c r="P35" s="28">
        <f t="shared" si="2"/>
        <v>38.430900836533596</v>
      </c>
      <c r="Q35" s="50">
        <f t="shared" si="1"/>
        <v>2581864.7800000003</v>
      </c>
      <c r="R35" s="28">
        <f t="shared" si="3"/>
        <v>38.430900836533596</v>
      </c>
      <c r="S35" s="51">
        <f>S36+S37</f>
        <v>2581864.7800000003</v>
      </c>
      <c r="T35" s="66"/>
    </row>
    <row r="36" spans="1:20" ht="12.75">
      <c r="A36" s="32"/>
      <c r="B36" s="33"/>
      <c r="C36" s="33"/>
      <c r="D36" s="33">
        <v>1</v>
      </c>
      <c r="E36" s="33">
        <v>3</v>
      </c>
      <c r="F36" s="35">
        <v>0</v>
      </c>
      <c r="G36" s="36">
        <v>303200</v>
      </c>
      <c r="H36" s="37">
        <v>0</v>
      </c>
      <c r="I36" s="37">
        <v>0</v>
      </c>
      <c r="J36" s="37">
        <v>0</v>
      </c>
      <c r="K36" s="36">
        <f>303200</f>
        <v>303200</v>
      </c>
      <c r="L36" s="37">
        <v>0</v>
      </c>
      <c r="M36" s="37">
        <v>0</v>
      </c>
      <c r="N36" s="161">
        <f t="shared" si="0"/>
        <v>303200</v>
      </c>
      <c r="O36" s="38">
        <f>75459.56</f>
        <v>75459.56</v>
      </c>
      <c r="P36" s="28">
        <v>0</v>
      </c>
      <c r="Q36" s="39">
        <f t="shared" si="1"/>
        <v>75459.56</v>
      </c>
      <c r="R36" s="28">
        <v>0</v>
      </c>
      <c r="S36" s="166">
        <f>75459.56</f>
        <v>75459.56</v>
      </c>
      <c r="T36" s="44"/>
    </row>
    <row r="37" spans="1:20" ht="12.75">
      <c r="A37" s="32"/>
      <c r="B37" s="33"/>
      <c r="C37" s="34"/>
      <c r="D37" s="33">
        <v>1</v>
      </c>
      <c r="E37" s="33">
        <v>3</v>
      </c>
      <c r="F37" s="33">
        <v>70</v>
      </c>
      <c r="G37" s="36">
        <v>2775000</v>
      </c>
      <c r="H37" s="42">
        <v>3640000</v>
      </c>
      <c r="I37" s="37">
        <v>0</v>
      </c>
      <c r="J37" s="37">
        <v>0</v>
      </c>
      <c r="K37" s="36">
        <f>G37+H37</f>
        <v>6415000</v>
      </c>
      <c r="L37" s="37">
        <v>0</v>
      </c>
      <c r="M37" s="37">
        <v>0</v>
      </c>
      <c r="N37" s="161">
        <f t="shared" si="0"/>
        <v>6415000</v>
      </c>
      <c r="O37" s="38">
        <f>2506405.22</f>
        <v>2506405.22</v>
      </c>
      <c r="P37" s="28">
        <v>0</v>
      </c>
      <c r="Q37" s="39">
        <f t="shared" si="1"/>
        <v>2506405.22</v>
      </c>
      <c r="R37" s="28">
        <v>0</v>
      </c>
      <c r="S37" s="166">
        <f>2506405.22</f>
        <v>2506405.22</v>
      </c>
      <c r="T37" s="66"/>
    </row>
    <row r="38" spans="1:20" ht="12.75">
      <c r="A38" s="32" t="s">
        <v>58</v>
      </c>
      <c r="B38" s="34" t="s">
        <v>59</v>
      </c>
      <c r="C38" s="33" t="s">
        <v>39</v>
      </c>
      <c r="D38" s="34"/>
      <c r="E38" s="34"/>
      <c r="F38" s="34"/>
      <c r="G38" s="49">
        <f>G39+G40</f>
        <v>43837200</v>
      </c>
      <c r="H38" s="47">
        <f>SUM(H39:H40)</f>
        <v>0</v>
      </c>
      <c r="I38" s="47">
        <f>SUM(I39:I40)</f>
        <v>0</v>
      </c>
      <c r="J38" s="47">
        <v>0</v>
      </c>
      <c r="K38" s="46">
        <f>G38+H38+I38-J38</f>
        <v>43837200</v>
      </c>
      <c r="L38" s="47">
        <v>0</v>
      </c>
      <c r="M38" s="47">
        <v>0</v>
      </c>
      <c r="N38" s="48">
        <f t="shared" si="0"/>
        <v>43837200</v>
      </c>
      <c r="O38" s="55">
        <f>O39+O40</f>
        <v>18100260</v>
      </c>
      <c r="P38" s="28">
        <f t="shared" si="2"/>
        <v>41.28972653362897</v>
      </c>
      <c r="Q38" s="50">
        <f t="shared" si="1"/>
        <v>18100260</v>
      </c>
      <c r="R38" s="28">
        <f t="shared" si="3"/>
        <v>41.28972653362897</v>
      </c>
      <c r="S38" s="59">
        <f>S39+S40+S41+S42+S43</f>
        <v>18100260</v>
      </c>
      <c r="T38" s="44"/>
    </row>
    <row r="39" spans="1:22" s="45" customFormat="1" ht="12.75">
      <c r="A39" s="67"/>
      <c r="B39" s="34"/>
      <c r="C39" s="34"/>
      <c r="D39" s="33">
        <v>1</v>
      </c>
      <c r="E39" s="33">
        <v>3</v>
      </c>
      <c r="F39" s="35">
        <v>0</v>
      </c>
      <c r="G39" s="36">
        <v>18057188</v>
      </c>
      <c r="H39" s="37">
        <v>0</v>
      </c>
      <c r="I39" s="37">
        <v>0</v>
      </c>
      <c r="J39" s="37">
        <v>0</v>
      </c>
      <c r="K39" s="36">
        <v>18057188</v>
      </c>
      <c r="L39" s="37">
        <v>0</v>
      </c>
      <c r="M39" s="37">
        <v>0</v>
      </c>
      <c r="N39" s="161">
        <f t="shared" si="0"/>
        <v>18057188</v>
      </c>
      <c r="O39" s="68">
        <v>7259760</v>
      </c>
      <c r="P39" s="28">
        <v>0</v>
      </c>
      <c r="Q39" s="39">
        <f t="shared" si="1"/>
        <v>7259760</v>
      </c>
      <c r="R39" s="28">
        <v>0</v>
      </c>
      <c r="S39" s="166">
        <f>7259760</f>
        <v>7259760</v>
      </c>
      <c r="T39" s="66"/>
      <c r="V39"/>
    </row>
    <row r="40" spans="1:20" ht="13.5" thickBot="1">
      <c r="A40" s="67"/>
      <c r="B40" s="34"/>
      <c r="C40" s="34"/>
      <c r="D40" s="33">
        <v>1</v>
      </c>
      <c r="E40" s="33">
        <v>3</v>
      </c>
      <c r="F40" s="33">
        <v>70</v>
      </c>
      <c r="G40" s="36">
        <v>25780012</v>
      </c>
      <c r="H40" s="37">
        <v>0</v>
      </c>
      <c r="I40" s="37">
        <v>0</v>
      </c>
      <c r="J40" s="37">
        <v>0</v>
      </c>
      <c r="K40" s="156">
        <v>25780012</v>
      </c>
      <c r="L40" s="37">
        <v>0</v>
      </c>
      <c r="M40" s="37">
        <v>0</v>
      </c>
      <c r="N40" s="161">
        <f t="shared" si="0"/>
        <v>25780012</v>
      </c>
      <c r="O40" s="38">
        <v>10840500</v>
      </c>
      <c r="P40" s="28">
        <v>0</v>
      </c>
      <c r="Q40" s="39">
        <f t="shared" si="1"/>
        <v>10840500</v>
      </c>
      <c r="R40" s="28">
        <v>0</v>
      </c>
      <c r="S40" s="166">
        <f>10840500</f>
        <v>10840500</v>
      </c>
      <c r="T40" s="66"/>
    </row>
    <row r="41" spans="1:20" s="20" customFormat="1" ht="13.5" thickBot="1">
      <c r="A41" s="69">
        <v>5244</v>
      </c>
      <c r="B41" s="70" t="s">
        <v>60</v>
      </c>
      <c r="C41" s="17"/>
      <c r="D41" s="17"/>
      <c r="E41" s="17"/>
      <c r="F41" s="17"/>
      <c r="G41" s="111"/>
      <c r="H41" s="17"/>
      <c r="I41" s="17"/>
      <c r="J41" s="17"/>
      <c r="K41" s="71"/>
      <c r="L41" s="17"/>
      <c r="M41" s="17"/>
      <c r="N41" s="71"/>
      <c r="O41" s="71"/>
      <c r="P41" s="17"/>
      <c r="Q41" s="17"/>
      <c r="R41" s="17"/>
      <c r="S41" s="71"/>
      <c r="T41" s="72"/>
    </row>
    <row r="42" spans="1:20" ht="12.75">
      <c r="A42" s="32" t="s">
        <v>61</v>
      </c>
      <c r="B42" s="34" t="s">
        <v>62</v>
      </c>
      <c r="C42" s="33" t="s">
        <v>63</v>
      </c>
      <c r="D42" s="33">
        <v>1</v>
      </c>
      <c r="E42" s="33">
        <v>5</v>
      </c>
      <c r="F42" s="35">
        <v>0</v>
      </c>
      <c r="G42" s="46">
        <v>500000</v>
      </c>
      <c r="H42" s="47">
        <v>0</v>
      </c>
      <c r="I42" s="47">
        <v>0</v>
      </c>
      <c r="J42" s="47">
        <v>0</v>
      </c>
      <c r="K42" s="24">
        <f aca="true" t="shared" si="4" ref="K42:K56">G42+H42+I42-J42</f>
        <v>500000</v>
      </c>
      <c r="L42" s="47">
        <v>0</v>
      </c>
      <c r="M42" s="47">
        <v>0</v>
      </c>
      <c r="N42" s="162">
        <f aca="true" t="shared" si="5" ref="N42:N56">K42+L42+M42</f>
        <v>500000</v>
      </c>
      <c r="O42" s="49">
        <v>0</v>
      </c>
      <c r="P42" s="28">
        <f t="shared" si="2"/>
        <v>0</v>
      </c>
      <c r="Q42" s="50">
        <f aca="true" t="shared" si="6" ref="Q42:Q58">O42</f>
        <v>0</v>
      </c>
      <c r="R42" s="28">
        <f t="shared" si="3"/>
        <v>0</v>
      </c>
      <c r="S42" s="140">
        <v>0</v>
      </c>
      <c r="T42" s="66"/>
    </row>
    <row r="43" spans="1:20" ht="12.75">
      <c r="A43" s="32" t="s">
        <v>64</v>
      </c>
      <c r="B43" s="34" t="s">
        <v>65</v>
      </c>
      <c r="C43" s="33" t="s">
        <v>63</v>
      </c>
      <c r="D43" s="33">
        <v>1</v>
      </c>
      <c r="E43" s="33">
        <v>5</v>
      </c>
      <c r="F43" s="33">
        <v>70</v>
      </c>
      <c r="G43" s="46">
        <v>10000</v>
      </c>
      <c r="H43" s="47">
        <v>0</v>
      </c>
      <c r="I43" s="47">
        <v>0</v>
      </c>
      <c r="J43" s="47">
        <v>0</v>
      </c>
      <c r="K43" s="46">
        <f t="shared" si="4"/>
        <v>10000</v>
      </c>
      <c r="L43" s="47">
        <v>0</v>
      </c>
      <c r="M43" s="47">
        <v>0</v>
      </c>
      <c r="N43" s="162">
        <f t="shared" si="5"/>
        <v>10000</v>
      </c>
      <c r="O43" s="49">
        <v>0</v>
      </c>
      <c r="P43" s="28">
        <f t="shared" si="2"/>
        <v>0</v>
      </c>
      <c r="Q43" s="50">
        <f t="shared" si="6"/>
        <v>0</v>
      </c>
      <c r="R43" s="28">
        <f t="shared" si="3"/>
        <v>0</v>
      </c>
      <c r="S43" s="74">
        <v>0</v>
      </c>
      <c r="T43" s="66"/>
    </row>
    <row r="44" spans="1:20" ht="12.75">
      <c r="A44" s="32" t="s">
        <v>66</v>
      </c>
      <c r="B44" s="34" t="s">
        <v>67</v>
      </c>
      <c r="C44" s="33" t="s">
        <v>63</v>
      </c>
      <c r="D44" s="33">
        <v>1</v>
      </c>
      <c r="E44" s="33">
        <v>4</v>
      </c>
      <c r="F44" s="35">
        <v>0</v>
      </c>
      <c r="G44" s="46">
        <v>260000</v>
      </c>
      <c r="H44" s="47">
        <v>0</v>
      </c>
      <c r="I44" s="47">
        <v>0</v>
      </c>
      <c r="J44" s="47">
        <v>0</v>
      </c>
      <c r="K44" s="46">
        <f t="shared" si="4"/>
        <v>260000</v>
      </c>
      <c r="L44" s="47">
        <v>0</v>
      </c>
      <c r="M44" s="47">
        <v>0</v>
      </c>
      <c r="N44" s="162">
        <f t="shared" si="5"/>
        <v>260000</v>
      </c>
      <c r="O44" s="49">
        <v>5353.73</v>
      </c>
      <c r="P44" s="28">
        <f t="shared" si="2"/>
        <v>2.059126923076923</v>
      </c>
      <c r="Q44" s="50">
        <f t="shared" si="6"/>
        <v>5353.73</v>
      </c>
      <c r="R44" s="28">
        <f t="shared" si="3"/>
        <v>2.059126923076923</v>
      </c>
      <c r="S44" s="169">
        <v>5353.73</v>
      </c>
      <c r="T44" s="66"/>
    </row>
    <row r="45" spans="1:20" ht="12.75">
      <c r="A45" s="32" t="s">
        <v>68</v>
      </c>
      <c r="B45" s="34" t="s">
        <v>69</v>
      </c>
      <c r="C45" s="33" t="s">
        <v>63</v>
      </c>
      <c r="D45" s="33">
        <v>1</v>
      </c>
      <c r="E45" s="33">
        <v>4</v>
      </c>
      <c r="F45" s="35">
        <v>0</v>
      </c>
      <c r="G45" s="46">
        <v>5000</v>
      </c>
      <c r="H45" s="47">
        <v>0</v>
      </c>
      <c r="I45" s="47">
        <v>0</v>
      </c>
      <c r="J45" s="47">
        <v>0</v>
      </c>
      <c r="K45" s="46">
        <f t="shared" si="4"/>
        <v>5000</v>
      </c>
      <c r="L45" s="47">
        <v>0</v>
      </c>
      <c r="M45" s="47">
        <v>0</v>
      </c>
      <c r="N45" s="162">
        <f t="shared" si="5"/>
        <v>5000</v>
      </c>
      <c r="O45" s="49">
        <v>0</v>
      </c>
      <c r="P45" s="28">
        <f t="shared" si="2"/>
        <v>0</v>
      </c>
      <c r="Q45" s="50">
        <f t="shared" si="6"/>
        <v>0</v>
      </c>
      <c r="R45" s="28">
        <f t="shared" si="3"/>
        <v>0</v>
      </c>
      <c r="S45" s="74">
        <v>0</v>
      </c>
      <c r="T45" s="44"/>
    </row>
    <row r="46" spans="1:20" ht="12.75">
      <c r="A46" s="32" t="s">
        <v>70</v>
      </c>
      <c r="B46" s="34" t="s">
        <v>71</v>
      </c>
      <c r="C46" s="33" t="s">
        <v>63</v>
      </c>
      <c r="D46" s="33">
        <v>1</v>
      </c>
      <c r="E46" s="33">
        <v>4</v>
      </c>
      <c r="F46" s="35">
        <v>0</v>
      </c>
      <c r="G46" s="46">
        <v>8050000</v>
      </c>
      <c r="H46" s="47">
        <v>0</v>
      </c>
      <c r="I46" s="47">
        <v>0</v>
      </c>
      <c r="J46" s="47">
        <v>0</v>
      </c>
      <c r="K46" s="46">
        <f t="shared" si="4"/>
        <v>8050000</v>
      </c>
      <c r="L46" s="47">
        <v>0</v>
      </c>
      <c r="M46" s="47">
        <v>0</v>
      </c>
      <c r="N46" s="162">
        <f t="shared" si="5"/>
        <v>8050000</v>
      </c>
      <c r="O46" s="49">
        <v>900538.68</v>
      </c>
      <c r="P46" s="28">
        <f t="shared" si="2"/>
        <v>11.18681590062112</v>
      </c>
      <c r="Q46" s="50">
        <f>O46</f>
        <v>900538.68</v>
      </c>
      <c r="R46" s="28">
        <f t="shared" si="3"/>
        <v>11.18681590062112</v>
      </c>
      <c r="S46" s="169">
        <v>283930.93</v>
      </c>
      <c r="T46" s="66"/>
    </row>
    <row r="47" spans="1:20" ht="12.75">
      <c r="A47" s="32" t="s">
        <v>72</v>
      </c>
      <c r="B47" s="34" t="s">
        <v>73</v>
      </c>
      <c r="C47" s="33" t="s">
        <v>63</v>
      </c>
      <c r="D47" s="33">
        <v>1</v>
      </c>
      <c r="E47" s="33">
        <v>4</v>
      </c>
      <c r="F47" s="35">
        <v>0</v>
      </c>
      <c r="G47" s="112">
        <v>5000</v>
      </c>
      <c r="H47" s="47">
        <v>0</v>
      </c>
      <c r="I47" s="47">
        <v>0</v>
      </c>
      <c r="J47" s="47">
        <v>0</v>
      </c>
      <c r="K47" s="46">
        <f t="shared" si="4"/>
        <v>5000</v>
      </c>
      <c r="L47" s="47">
        <v>0</v>
      </c>
      <c r="M47" s="47">
        <v>0</v>
      </c>
      <c r="N47" s="162">
        <f t="shared" si="5"/>
        <v>5000</v>
      </c>
      <c r="O47" s="49">
        <v>0</v>
      </c>
      <c r="P47" s="28">
        <f t="shared" si="2"/>
        <v>0</v>
      </c>
      <c r="Q47" s="50">
        <f t="shared" si="6"/>
        <v>0</v>
      </c>
      <c r="R47" s="28">
        <f t="shared" si="3"/>
        <v>0</v>
      </c>
      <c r="S47" s="74">
        <v>0</v>
      </c>
      <c r="T47" s="66"/>
    </row>
    <row r="48" spans="1:20" ht="12.75">
      <c r="A48" s="32" t="s">
        <v>74</v>
      </c>
      <c r="B48" s="34" t="s">
        <v>71</v>
      </c>
      <c r="C48" s="33" t="s">
        <v>63</v>
      </c>
      <c r="D48" s="33">
        <v>1</v>
      </c>
      <c r="E48" s="33">
        <v>4</v>
      </c>
      <c r="F48" s="33">
        <v>70</v>
      </c>
      <c r="G48" s="46">
        <v>10000</v>
      </c>
      <c r="H48" s="47">
        <v>0</v>
      </c>
      <c r="I48" s="47">
        <v>0</v>
      </c>
      <c r="J48" s="47">
        <v>0</v>
      </c>
      <c r="K48" s="46">
        <f t="shared" si="4"/>
        <v>10000</v>
      </c>
      <c r="L48" s="47">
        <v>0</v>
      </c>
      <c r="M48" s="47">
        <v>0</v>
      </c>
      <c r="N48" s="162">
        <f t="shared" si="5"/>
        <v>10000</v>
      </c>
      <c r="O48" s="49">
        <v>0</v>
      </c>
      <c r="P48" s="28">
        <f t="shared" si="2"/>
        <v>0</v>
      </c>
      <c r="Q48" s="50">
        <f t="shared" si="6"/>
        <v>0</v>
      </c>
      <c r="R48" s="28">
        <f t="shared" si="3"/>
        <v>0</v>
      </c>
      <c r="S48" s="74">
        <v>0</v>
      </c>
      <c r="T48" s="66"/>
    </row>
    <row r="49" spans="1:20" ht="12.75">
      <c r="A49" s="32" t="s">
        <v>75</v>
      </c>
      <c r="B49" s="34" t="s">
        <v>73</v>
      </c>
      <c r="C49" s="33" t="s">
        <v>63</v>
      </c>
      <c r="D49" s="33">
        <v>1</v>
      </c>
      <c r="E49" s="33">
        <v>4</v>
      </c>
      <c r="F49" s="33">
        <v>70</v>
      </c>
      <c r="G49" s="46">
        <v>10000</v>
      </c>
      <c r="H49" s="47">
        <v>0</v>
      </c>
      <c r="I49" s="47">
        <v>0</v>
      </c>
      <c r="J49" s="47">
        <v>0</v>
      </c>
      <c r="K49" s="46">
        <f t="shared" si="4"/>
        <v>10000</v>
      </c>
      <c r="L49" s="47">
        <v>0</v>
      </c>
      <c r="M49" s="47">
        <v>0</v>
      </c>
      <c r="N49" s="162">
        <f t="shared" si="5"/>
        <v>10000</v>
      </c>
      <c r="O49" s="49">
        <v>0</v>
      </c>
      <c r="P49" s="28">
        <f t="shared" si="2"/>
        <v>0</v>
      </c>
      <c r="Q49" s="50">
        <f t="shared" si="6"/>
        <v>0</v>
      </c>
      <c r="R49" s="28">
        <f t="shared" si="3"/>
        <v>0</v>
      </c>
      <c r="S49" s="74">
        <v>0</v>
      </c>
      <c r="T49" s="66"/>
    </row>
    <row r="50" spans="1:20" ht="12.75">
      <c r="A50" s="32" t="s">
        <v>76</v>
      </c>
      <c r="B50" s="34" t="s">
        <v>67</v>
      </c>
      <c r="C50" s="33" t="s">
        <v>63</v>
      </c>
      <c r="D50" s="33">
        <v>1</v>
      </c>
      <c r="E50" s="33">
        <v>4</v>
      </c>
      <c r="F50" s="33">
        <v>70</v>
      </c>
      <c r="G50" s="46">
        <v>10000</v>
      </c>
      <c r="H50" s="47">
        <v>0</v>
      </c>
      <c r="I50" s="47">
        <v>0</v>
      </c>
      <c r="J50" s="47">
        <v>0</v>
      </c>
      <c r="K50" s="46">
        <f t="shared" si="4"/>
        <v>10000</v>
      </c>
      <c r="L50" s="47">
        <v>0</v>
      </c>
      <c r="M50" s="47">
        <v>0</v>
      </c>
      <c r="N50" s="162">
        <f t="shared" si="5"/>
        <v>10000</v>
      </c>
      <c r="O50" s="49">
        <v>0</v>
      </c>
      <c r="P50" s="28">
        <f t="shared" si="2"/>
        <v>0</v>
      </c>
      <c r="Q50" s="50">
        <f t="shared" si="6"/>
        <v>0</v>
      </c>
      <c r="R50" s="28">
        <f t="shared" si="3"/>
        <v>0</v>
      </c>
      <c r="S50" s="74">
        <v>0</v>
      </c>
      <c r="T50" s="66"/>
    </row>
    <row r="51" spans="1:20" ht="12.75">
      <c r="A51" s="32" t="s">
        <v>77</v>
      </c>
      <c r="B51" s="34" t="s">
        <v>69</v>
      </c>
      <c r="C51" s="33" t="s">
        <v>63</v>
      </c>
      <c r="D51" s="33">
        <v>1</v>
      </c>
      <c r="E51" s="33">
        <v>4</v>
      </c>
      <c r="F51" s="33">
        <v>70</v>
      </c>
      <c r="G51" s="46">
        <v>10000</v>
      </c>
      <c r="H51" s="47">
        <v>0</v>
      </c>
      <c r="I51" s="47">
        <v>0</v>
      </c>
      <c r="J51" s="47">
        <v>0</v>
      </c>
      <c r="K51" s="46">
        <f t="shared" si="4"/>
        <v>10000</v>
      </c>
      <c r="L51" s="47">
        <v>0</v>
      </c>
      <c r="M51" s="47">
        <v>0</v>
      </c>
      <c r="N51" s="162">
        <f t="shared" si="5"/>
        <v>10000</v>
      </c>
      <c r="O51" s="49">
        <v>0</v>
      </c>
      <c r="P51" s="28">
        <f t="shared" si="2"/>
        <v>0</v>
      </c>
      <c r="Q51" s="50">
        <f t="shared" si="6"/>
        <v>0</v>
      </c>
      <c r="R51" s="28">
        <f t="shared" si="3"/>
        <v>0</v>
      </c>
      <c r="S51" s="74">
        <v>0</v>
      </c>
      <c r="T51" s="44"/>
    </row>
    <row r="52" spans="1:20" ht="12.75">
      <c r="A52" s="32" t="s">
        <v>78</v>
      </c>
      <c r="B52" s="34" t="s">
        <v>79</v>
      </c>
      <c r="C52" s="33" t="s">
        <v>63</v>
      </c>
      <c r="D52" s="33">
        <v>1</v>
      </c>
      <c r="E52" s="33">
        <v>3</v>
      </c>
      <c r="F52" s="35">
        <v>0</v>
      </c>
      <c r="G52" s="46">
        <v>30000</v>
      </c>
      <c r="H52" s="47">
        <v>0</v>
      </c>
      <c r="I52" s="47">
        <v>0</v>
      </c>
      <c r="J52" s="47">
        <v>0</v>
      </c>
      <c r="K52" s="46">
        <f t="shared" si="4"/>
        <v>30000</v>
      </c>
      <c r="L52" s="47">
        <v>0</v>
      </c>
      <c r="M52" s="47">
        <v>0</v>
      </c>
      <c r="N52" s="162">
        <f t="shared" si="5"/>
        <v>30000</v>
      </c>
      <c r="O52" s="49">
        <v>0</v>
      </c>
      <c r="P52" s="28">
        <f t="shared" si="2"/>
        <v>0</v>
      </c>
      <c r="Q52" s="50">
        <f t="shared" si="6"/>
        <v>0</v>
      </c>
      <c r="R52" s="28">
        <f t="shared" si="3"/>
        <v>0</v>
      </c>
      <c r="S52" s="74">
        <v>0</v>
      </c>
      <c r="T52" s="66"/>
    </row>
    <row r="53" spans="1:19" ht="12.75">
      <c r="A53" s="32" t="s">
        <v>80</v>
      </c>
      <c r="B53" s="34" t="s">
        <v>79</v>
      </c>
      <c r="C53" s="33" t="s">
        <v>63</v>
      </c>
      <c r="D53" s="33">
        <v>1</v>
      </c>
      <c r="E53" s="33">
        <v>3</v>
      </c>
      <c r="F53" s="33">
        <v>70</v>
      </c>
      <c r="G53" s="46">
        <v>30000</v>
      </c>
      <c r="H53" s="47">
        <v>0</v>
      </c>
      <c r="I53" s="47">
        <v>0</v>
      </c>
      <c r="J53" s="47">
        <v>0</v>
      </c>
      <c r="K53" s="46">
        <f t="shared" si="4"/>
        <v>30000</v>
      </c>
      <c r="L53" s="47">
        <v>0</v>
      </c>
      <c r="M53" s="47">
        <v>0</v>
      </c>
      <c r="N53" s="162">
        <f t="shared" si="5"/>
        <v>30000</v>
      </c>
      <c r="O53" s="75">
        <v>0</v>
      </c>
      <c r="P53" s="28">
        <f t="shared" si="2"/>
        <v>0</v>
      </c>
      <c r="Q53" s="50">
        <f t="shared" si="6"/>
        <v>0</v>
      </c>
      <c r="R53" s="28">
        <f t="shared" si="3"/>
        <v>0</v>
      </c>
      <c r="S53" s="74">
        <v>0</v>
      </c>
    </row>
    <row r="54" spans="1:19" ht="12.75">
      <c r="A54" s="81" t="s">
        <v>81</v>
      </c>
      <c r="B54" s="82" t="s">
        <v>82</v>
      </c>
      <c r="C54" s="84" t="s">
        <v>83</v>
      </c>
      <c r="D54" s="84">
        <v>1</v>
      </c>
      <c r="E54" s="84">
        <v>3</v>
      </c>
      <c r="F54" s="84">
        <v>0</v>
      </c>
      <c r="G54" s="113">
        <f>200000+11000+705000+324500</f>
        <v>1240500</v>
      </c>
      <c r="H54" s="155">
        <v>200000</v>
      </c>
      <c r="I54" s="155">
        <f>-200000</f>
        <v>-200000</v>
      </c>
      <c r="J54" s="86">
        <v>0</v>
      </c>
      <c r="K54" s="113">
        <f>G54+H54+I54-J54</f>
        <v>1240500</v>
      </c>
      <c r="L54" s="86">
        <v>0</v>
      </c>
      <c r="M54" s="86">
        <v>0</v>
      </c>
      <c r="N54" s="163">
        <f t="shared" si="5"/>
        <v>1240500</v>
      </c>
      <c r="O54" s="114">
        <f>211629.68+14364+131668</f>
        <v>357661.68</v>
      </c>
      <c r="P54" s="52">
        <f>O54/N54*100</f>
        <v>28.83205804111245</v>
      </c>
      <c r="Q54" s="87">
        <f>O54</f>
        <v>357661.68</v>
      </c>
      <c r="R54" s="52">
        <f>Q54/N54*100</f>
        <v>28.83205804111245</v>
      </c>
      <c r="S54" s="170">
        <f>199821.69+10104+93618</f>
        <v>303543.69</v>
      </c>
    </row>
    <row r="55" spans="1:22" ht="12.75">
      <c r="A55" s="115" t="s">
        <v>84</v>
      </c>
      <c r="B55" s="116" t="s">
        <v>82</v>
      </c>
      <c r="C55" s="117" t="s">
        <v>83</v>
      </c>
      <c r="D55" s="117">
        <v>1</v>
      </c>
      <c r="E55" s="117">
        <v>3</v>
      </c>
      <c r="F55" s="117">
        <v>70</v>
      </c>
      <c r="G55" s="142">
        <f>5000+5000+5000+5000</f>
        <v>20000</v>
      </c>
      <c r="H55" s="118">
        <v>0</v>
      </c>
      <c r="I55" s="118">
        <v>0</v>
      </c>
      <c r="J55" s="118">
        <v>0</v>
      </c>
      <c r="K55" s="119">
        <f t="shared" si="4"/>
        <v>20000</v>
      </c>
      <c r="L55" s="118">
        <v>0</v>
      </c>
      <c r="M55" s="118">
        <v>0</v>
      </c>
      <c r="N55" s="119">
        <f t="shared" si="5"/>
        <v>20000</v>
      </c>
      <c r="O55" s="121">
        <v>0</v>
      </c>
      <c r="P55" s="122">
        <f t="shared" si="2"/>
        <v>0</v>
      </c>
      <c r="Q55" s="120">
        <f t="shared" si="6"/>
        <v>0</v>
      </c>
      <c r="R55" s="122">
        <f t="shared" si="3"/>
        <v>0</v>
      </c>
      <c r="S55" s="141">
        <v>0</v>
      </c>
      <c r="V55" s="77"/>
    </row>
    <row r="56" spans="1:19" ht="12.75">
      <c r="A56" s="115" t="s">
        <v>81</v>
      </c>
      <c r="B56" s="116" t="s">
        <v>85</v>
      </c>
      <c r="C56" s="117" t="s">
        <v>83</v>
      </c>
      <c r="D56" s="117">
        <v>1</v>
      </c>
      <c r="E56" s="117">
        <v>3</v>
      </c>
      <c r="F56" s="117">
        <v>90</v>
      </c>
      <c r="G56" s="119">
        <f>20000+200000+21200</f>
        <v>241200</v>
      </c>
      <c r="H56" s="118">
        <v>0</v>
      </c>
      <c r="I56" s="118">
        <v>0</v>
      </c>
      <c r="J56" s="118">
        <v>0</v>
      </c>
      <c r="K56" s="119">
        <f t="shared" si="4"/>
        <v>241200</v>
      </c>
      <c r="L56" s="118">
        <v>0</v>
      </c>
      <c r="M56" s="118">
        <v>0</v>
      </c>
      <c r="N56" s="119">
        <f t="shared" si="5"/>
        <v>241200</v>
      </c>
      <c r="O56" s="121">
        <f>40183</f>
        <v>40183</v>
      </c>
      <c r="P56" s="122">
        <f t="shared" si="2"/>
        <v>16.659618573797676</v>
      </c>
      <c r="Q56" s="120">
        <f t="shared" si="6"/>
        <v>40183</v>
      </c>
      <c r="R56" s="122">
        <f t="shared" si="3"/>
        <v>16.659618573797676</v>
      </c>
      <c r="S56" s="171">
        <f>40183</f>
        <v>40183</v>
      </c>
    </row>
    <row r="57" spans="1:19" ht="12.75">
      <c r="A57" s="115" t="s">
        <v>97</v>
      </c>
      <c r="B57" s="116" t="s">
        <v>98</v>
      </c>
      <c r="C57" s="117">
        <v>2131</v>
      </c>
      <c r="D57" s="117">
        <v>1</v>
      </c>
      <c r="E57" s="117">
        <v>3</v>
      </c>
      <c r="F57" s="117">
        <v>70</v>
      </c>
      <c r="G57" s="119">
        <v>290000</v>
      </c>
      <c r="H57" s="118">
        <v>0</v>
      </c>
      <c r="I57" s="118">
        <v>0</v>
      </c>
      <c r="J57" s="118">
        <v>0</v>
      </c>
      <c r="K57" s="119">
        <f>30000+50000+10000+200000</f>
        <v>290000</v>
      </c>
      <c r="L57" s="118">
        <v>0</v>
      </c>
      <c r="M57" s="118">
        <v>0</v>
      </c>
      <c r="N57" s="119">
        <v>290000</v>
      </c>
      <c r="O57" s="121">
        <v>0</v>
      </c>
      <c r="P57" s="122">
        <f t="shared" si="2"/>
        <v>0</v>
      </c>
      <c r="Q57" s="120">
        <f t="shared" si="6"/>
        <v>0</v>
      </c>
      <c r="R57" s="122">
        <f t="shared" si="3"/>
        <v>0</v>
      </c>
      <c r="S57" s="141">
        <v>0</v>
      </c>
    </row>
    <row r="58" spans="1:19" ht="13.5" thickBot="1">
      <c r="A58" s="123" t="s">
        <v>99</v>
      </c>
      <c r="B58" s="124" t="s">
        <v>98</v>
      </c>
      <c r="C58" s="125">
        <v>2131</v>
      </c>
      <c r="D58" s="125">
        <v>1</v>
      </c>
      <c r="E58" s="125">
        <v>3</v>
      </c>
      <c r="F58" s="125">
        <v>0</v>
      </c>
      <c r="G58" s="126">
        <f>2000000</f>
        <v>2000000</v>
      </c>
      <c r="H58" s="127">
        <v>0</v>
      </c>
      <c r="I58" s="127">
        <v>0</v>
      </c>
      <c r="J58" s="127">
        <v>0</v>
      </c>
      <c r="K58" s="126">
        <f>50000+100000+50000+1800000</f>
        <v>2000000</v>
      </c>
      <c r="L58" s="127">
        <v>0</v>
      </c>
      <c r="M58" s="127">
        <v>0</v>
      </c>
      <c r="N58" s="126">
        <v>2000000</v>
      </c>
      <c r="O58" s="129">
        <f>14039.9+4108.5+840+3248</f>
        <v>22236.4</v>
      </c>
      <c r="P58" s="130">
        <f t="shared" si="2"/>
        <v>1.11182</v>
      </c>
      <c r="Q58" s="128">
        <f t="shared" si="6"/>
        <v>22236.4</v>
      </c>
      <c r="R58" s="130">
        <f t="shared" si="3"/>
        <v>1.11182</v>
      </c>
      <c r="S58" s="172">
        <f>14039.9+2248.5+840</f>
        <v>17128.4</v>
      </c>
    </row>
    <row r="59" spans="1:20" s="20" customFormat="1" ht="13.5" thickBot="1">
      <c r="A59" s="131">
        <v>0</v>
      </c>
      <c r="B59" s="132" t="s">
        <v>86</v>
      </c>
      <c r="C59" s="133"/>
      <c r="D59" s="133"/>
      <c r="E59" s="133"/>
      <c r="F59" s="133"/>
      <c r="G59" s="134"/>
      <c r="H59" s="133"/>
      <c r="I59" s="133"/>
      <c r="J59" s="133"/>
      <c r="K59" s="135"/>
      <c r="L59" s="133"/>
      <c r="M59" s="133"/>
      <c r="N59" s="135"/>
      <c r="O59" s="136"/>
      <c r="P59" s="133"/>
      <c r="Q59" s="133"/>
      <c r="R59" s="133"/>
      <c r="S59" s="135"/>
      <c r="T59" s="79"/>
    </row>
    <row r="60" spans="1:19" ht="12.75">
      <c r="A60" s="32" t="s">
        <v>87</v>
      </c>
      <c r="B60" s="34" t="s">
        <v>88</v>
      </c>
      <c r="C60" s="33" t="s">
        <v>89</v>
      </c>
      <c r="D60" s="34"/>
      <c r="E60" s="34"/>
      <c r="F60" s="34"/>
      <c r="G60" s="49">
        <f>SUM(G61:G65)</f>
        <v>12718231</v>
      </c>
      <c r="H60" s="152">
        <f>SUM(H61:H65)</f>
        <v>1900000</v>
      </c>
      <c r="I60" s="47">
        <f>SUM(I61:I65)</f>
        <v>0</v>
      </c>
      <c r="J60" s="47">
        <v>0</v>
      </c>
      <c r="K60" s="73">
        <f>SUM(K61:K65)</f>
        <v>14618231</v>
      </c>
      <c r="L60" s="47">
        <v>0</v>
      </c>
      <c r="M60" s="47">
        <v>0</v>
      </c>
      <c r="N60" s="48">
        <f>SUM(N61:N65)</f>
        <v>9564988</v>
      </c>
      <c r="O60" s="76">
        <f>O61+O62+O63+O64+O65</f>
        <v>4541039.79</v>
      </c>
      <c r="P60" s="28">
        <f t="shared" si="2"/>
        <v>47.47564544775174</v>
      </c>
      <c r="Q60" s="48">
        <v>4541039.79</v>
      </c>
      <c r="R60" s="28">
        <f t="shared" si="3"/>
        <v>47.47564544775174</v>
      </c>
      <c r="S60" s="59">
        <f>S61+S62+S63+S64+S65</f>
        <v>4498130.77</v>
      </c>
    </row>
    <row r="61" spans="1:19" ht="12.75">
      <c r="A61" s="32"/>
      <c r="B61" s="34"/>
      <c r="C61" s="33"/>
      <c r="D61" s="33">
        <v>1</v>
      </c>
      <c r="E61" s="33">
        <v>1</v>
      </c>
      <c r="F61" s="35">
        <v>1</v>
      </c>
      <c r="G61" s="36">
        <f>11075731</f>
        <v>11075731</v>
      </c>
      <c r="H61" s="37">
        <v>0</v>
      </c>
      <c r="I61" s="37">
        <v>0</v>
      </c>
      <c r="J61" s="42">
        <v>0</v>
      </c>
      <c r="K61" s="36">
        <v>11075731</v>
      </c>
      <c r="L61" s="37">
        <v>0</v>
      </c>
      <c r="M61" s="42">
        <f>-5053243</f>
        <v>-5053243</v>
      </c>
      <c r="N61" s="161">
        <f aca="true" t="shared" si="7" ref="N61:N67">K61+L61+M61</f>
        <v>6022488</v>
      </c>
      <c r="O61" s="80">
        <f>3236833.37</f>
        <v>3236833.37</v>
      </c>
      <c r="P61" s="28">
        <v>0</v>
      </c>
      <c r="Q61" s="80">
        <v>3236833.37</v>
      </c>
      <c r="R61" s="28">
        <v>0</v>
      </c>
      <c r="S61" s="166">
        <v>3234500.45</v>
      </c>
    </row>
    <row r="62" spans="1:19" ht="12.75">
      <c r="A62" s="32"/>
      <c r="B62" s="34"/>
      <c r="C62" s="33"/>
      <c r="D62" s="33">
        <v>1</v>
      </c>
      <c r="E62" s="33">
        <v>3</v>
      </c>
      <c r="F62" s="35">
        <v>0</v>
      </c>
      <c r="G62" s="36">
        <f>1500000</f>
        <v>1500000</v>
      </c>
      <c r="H62" s="37">
        <v>0</v>
      </c>
      <c r="I62" s="37">
        <v>0</v>
      </c>
      <c r="J62" s="37">
        <v>0</v>
      </c>
      <c r="K62" s="36">
        <v>1500000</v>
      </c>
      <c r="L62" s="37">
        <v>0</v>
      </c>
      <c r="M62" s="37">
        <v>0</v>
      </c>
      <c r="N62" s="161">
        <f t="shared" si="7"/>
        <v>1500000</v>
      </c>
      <c r="O62" s="80">
        <v>1118249.23</v>
      </c>
      <c r="P62" s="28">
        <v>0</v>
      </c>
      <c r="Q62" s="80">
        <v>1118249.23</v>
      </c>
      <c r="R62" s="28">
        <v>0</v>
      </c>
      <c r="S62" s="166">
        <v>1077673.15</v>
      </c>
    </row>
    <row r="63" spans="1:19" ht="12.75">
      <c r="A63" s="32"/>
      <c r="B63" s="34"/>
      <c r="C63" s="33"/>
      <c r="D63" s="33">
        <v>1</v>
      </c>
      <c r="E63" s="33">
        <v>4</v>
      </c>
      <c r="F63" s="35">
        <v>0</v>
      </c>
      <c r="G63" s="36">
        <v>27500</v>
      </c>
      <c r="H63" s="37">
        <v>0</v>
      </c>
      <c r="I63" s="37">
        <v>0</v>
      </c>
      <c r="J63" s="37">
        <v>0</v>
      </c>
      <c r="K63" s="36">
        <v>27500</v>
      </c>
      <c r="L63" s="37">
        <v>0</v>
      </c>
      <c r="M63" s="37">
        <v>0</v>
      </c>
      <c r="N63" s="161">
        <f t="shared" si="7"/>
        <v>27500</v>
      </c>
      <c r="O63" s="80"/>
      <c r="P63" s="28">
        <v>0</v>
      </c>
      <c r="Q63" s="80"/>
      <c r="R63" s="28">
        <v>0</v>
      </c>
      <c r="S63" s="40">
        <v>0</v>
      </c>
    </row>
    <row r="64" spans="1:19" ht="12.75">
      <c r="A64" s="32"/>
      <c r="B64" s="34"/>
      <c r="C64" s="33"/>
      <c r="D64" s="33">
        <v>1</v>
      </c>
      <c r="E64" s="33">
        <v>3</v>
      </c>
      <c r="F64" s="33">
        <v>70</v>
      </c>
      <c r="G64" s="36">
        <v>100000</v>
      </c>
      <c r="H64" s="42">
        <v>1900000</v>
      </c>
      <c r="I64" s="37">
        <v>0</v>
      </c>
      <c r="J64" s="37">
        <v>0</v>
      </c>
      <c r="K64" s="36">
        <f>G64+H64</f>
        <v>2000000</v>
      </c>
      <c r="L64" s="37">
        <v>0</v>
      </c>
      <c r="M64" s="37">
        <v>0</v>
      </c>
      <c r="N64" s="161">
        <f t="shared" si="7"/>
        <v>2000000</v>
      </c>
      <c r="O64" s="80">
        <v>185957.19</v>
      </c>
      <c r="P64" s="28">
        <v>0</v>
      </c>
      <c r="Q64" s="80">
        <v>185957.19</v>
      </c>
      <c r="R64" s="28">
        <v>0</v>
      </c>
      <c r="S64" s="166">
        <v>185957.17</v>
      </c>
    </row>
    <row r="65" spans="1:19" ht="12.75">
      <c r="A65" s="32"/>
      <c r="B65" s="34"/>
      <c r="C65" s="33"/>
      <c r="D65" s="33">
        <v>1</v>
      </c>
      <c r="E65" s="33">
        <v>4</v>
      </c>
      <c r="F65" s="33">
        <v>70</v>
      </c>
      <c r="G65" s="36">
        <v>15000</v>
      </c>
      <c r="H65" s="37">
        <v>0</v>
      </c>
      <c r="I65" s="37">
        <v>0</v>
      </c>
      <c r="J65" s="37">
        <v>0</v>
      </c>
      <c r="K65" s="36">
        <v>15000</v>
      </c>
      <c r="L65" s="37">
        <v>0</v>
      </c>
      <c r="M65" s="37">
        <v>0</v>
      </c>
      <c r="N65" s="161">
        <f t="shared" si="7"/>
        <v>15000</v>
      </c>
      <c r="O65" s="80"/>
      <c r="P65" s="28">
        <v>0</v>
      </c>
      <c r="Q65" s="39"/>
      <c r="R65" s="28">
        <v>0</v>
      </c>
      <c r="S65" s="40">
        <v>0</v>
      </c>
    </row>
    <row r="66" spans="1:19" ht="12.75">
      <c r="A66" s="32" t="s">
        <v>90</v>
      </c>
      <c r="B66" s="34" t="s">
        <v>91</v>
      </c>
      <c r="C66" s="33" t="s">
        <v>89</v>
      </c>
      <c r="D66" s="33">
        <v>1</v>
      </c>
      <c r="E66" s="33">
        <v>3</v>
      </c>
      <c r="F66" s="35">
        <v>0</v>
      </c>
      <c r="G66" s="46">
        <v>60000000</v>
      </c>
      <c r="H66" s="88">
        <v>0</v>
      </c>
      <c r="I66" s="88">
        <v>0</v>
      </c>
      <c r="J66" s="88">
        <v>0</v>
      </c>
      <c r="K66" s="46">
        <f>G66+H66+I66-J66</f>
        <v>60000000</v>
      </c>
      <c r="L66" s="88">
        <v>0</v>
      </c>
      <c r="M66" s="88">
        <v>0</v>
      </c>
      <c r="N66" s="46">
        <f t="shared" si="7"/>
        <v>60000000</v>
      </c>
      <c r="O66" s="76">
        <v>21041630.86</v>
      </c>
      <c r="P66" s="53">
        <f t="shared" si="2"/>
        <v>35.069384766666666</v>
      </c>
      <c r="Q66" s="76">
        <v>21041630.86</v>
      </c>
      <c r="R66" s="53">
        <f t="shared" si="3"/>
        <v>35.069384766666666</v>
      </c>
      <c r="S66" s="173">
        <v>21041631</v>
      </c>
    </row>
    <row r="67" spans="1:19" ht="12.75">
      <c r="A67" s="81" t="s">
        <v>92</v>
      </c>
      <c r="B67" s="82" t="s">
        <v>93</v>
      </c>
      <c r="C67" s="83" t="s">
        <v>89</v>
      </c>
      <c r="D67" s="84">
        <v>1</v>
      </c>
      <c r="E67" s="84">
        <v>1</v>
      </c>
      <c r="F67" s="85">
        <v>0</v>
      </c>
      <c r="G67" s="113">
        <v>900</v>
      </c>
      <c r="H67" s="88">
        <v>0</v>
      </c>
      <c r="I67" s="88">
        <v>0</v>
      </c>
      <c r="J67" s="88">
        <v>0</v>
      </c>
      <c r="K67" s="46">
        <f>G67+H67+I67-J67</f>
        <v>900</v>
      </c>
      <c r="L67" s="88">
        <v>0</v>
      </c>
      <c r="M67" s="88">
        <v>0</v>
      </c>
      <c r="N67" s="46">
        <f t="shared" si="7"/>
        <v>900</v>
      </c>
      <c r="O67" s="76">
        <v>0</v>
      </c>
      <c r="P67" s="53">
        <f t="shared" si="2"/>
        <v>0</v>
      </c>
      <c r="Q67" s="49">
        <v>0</v>
      </c>
      <c r="R67" s="53">
        <f t="shared" si="3"/>
        <v>0</v>
      </c>
      <c r="S67" s="108">
        <v>0</v>
      </c>
    </row>
    <row r="68" spans="1:19" ht="12.75">
      <c r="A68" s="81" t="s">
        <v>94</v>
      </c>
      <c r="B68" s="34" t="s">
        <v>95</v>
      </c>
      <c r="C68" s="83" t="s">
        <v>89</v>
      </c>
      <c r="D68" s="33">
        <v>1</v>
      </c>
      <c r="E68" s="33">
        <v>3</v>
      </c>
      <c r="F68" s="35">
        <v>0</v>
      </c>
      <c r="G68" s="46">
        <v>25000</v>
      </c>
      <c r="H68" s="88">
        <v>0</v>
      </c>
      <c r="I68" s="88">
        <v>0</v>
      </c>
      <c r="J68" s="88">
        <v>0</v>
      </c>
      <c r="K68" s="46">
        <f>G68+H68+I68-J68</f>
        <v>25000</v>
      </c>
      <c r="L68" s="88">
        <v>0</v>
      </c>
      <c r="M68" s="88">
        <v>0</v>
      </c>
      <c r="N68" s="46">
        <f>K68+L68+M68</f>
        <v>25000</v>
      </c>
      <c r="O68" s="76">
        <v>0</v>
      </c>
      <c r="P68" s="53">
        <f t="shared" si="2"/>
        <v>0</v>
      </c>
      <c r="Q68" s="49">
        <v>0</v>
      </c>
      <c r="R68" s="53">
        <f t="shared" si="3"/>
        <v>0</v>
      </c>
      <c r="S68" s="89">
        <v>0</v>
      </c>
    </row>
    <row r="69" spans="1:19" ht="13.5" thickBot="1">
      <c r="A69" s="81" t="s">
        <v>94</v>
      </c>
      <c r="B69" s="34" t="s">
        <v>95</v>
      </c>
      <c r="C69" s="83" t="s">
        <v>89</v>
      </c>
      <c r="D69" s="90">
        <v>1</v>
      </c>
      <c r="E69" s="90">
        <v>3</v>
      </c>
      <c r="F69" s="91">
        <v>70</v>
      </c>
      <c r="G69" s="137">
        <v>15000</v>
      </c>
      <c r="H69" s="92">
        <v>0</v>
      </c>
      <c r="I69" s="92">
        <v>0</v>
      </c>
      <c r="J69" s="92">
        <v>0</v>
      </c>
      <c r="K69" s="137">
        <f>G69+H69+I69-J69</f>
        <v>15000</v>
      </c>
      <c r="L69" s="92">
        <v>0</v>
      </c>
      <c r="M69" s="92">
        <v>0</v>
      </c>
      <c r="N69" s="137">
        <f>K69+L69+M69</f>
        <v>15000</v>
      </c>
      <c r="O69" s="93">
        <v>1312740</v>
      </c>
      <c r="P69" s="107">
        <f t="shared" si="2"/>
        <v>8751.6</v>
      </c>
      <c r="Q69" s="78">
        <v>1312740</v>
      </c>
      <c r="R69" s="107">
        <f t="shared" si="3"/>
        <v>8751.6</v>
      </c>
      <c r="S69" s="174">
        <v>1312740</v>
      </c>
    </row>
    <row r="70" spans="1:22" ht="13.5" thickBot="1">
      <c r="A70" s="94"/>
      <c r="B70" s="95" t="s">
        <v>96</v>
      </c>
      <c r="C70" s="96"/>
      <c r="D70" s="97"/>
      <c r="E70" s="97"/>
      <c r="F70" s="97"/>
      <c r="G70" s="98">
        <f>G8+G14+G17+G20+G23+G24+G29+G32+G35+G38+G42+G43+G44+G45+G46+G47+G48+G49+G50+G51+G52+G53+G54+G55+G56+G60+G66+G67+G68+G69+G58+G57</f>
        <v>511897700</v>
      </c>
      <c r="H70" s="151">
        <v>9225000</v>
      </c>
      <c r="I70" s="151">
        <f>SUM(I8+I14+I24+I29+I54)</f>
        <v>-2135000</v>
      </c>
      <c r="J70" s="99">
        <v>0</v>
      </c>
      <c r="K70" s="98">
        <f>K69+K68+K67+K66+K60+K58+K57+K56+K55+K54+K53+K52+K51+K50+K49+K48+K47+K46+K45+K44+K43+K42+K38+K35+K32+K29+K24+K23+K20+K17+K14+K8</f>
        <v>518987700</v>
      </c>
      <c r="L70" s="99">
        <v>0</v>
      </c>
      <c r="M70" s="99">
        <v>0</v>
      </c>
      <c r="N70" s="98">
        <f>SUM(N8+N14+N17+N20+N23+N24+N29+N32+N35+N38+N42+N43+N44+N45+N46+N47+N48+N49+N50+N51+N52+N53+N54+N55+N56+N57+N58+N60+N66+N67+N68+N69)</f>
        <v>513934457</v>
      </c>
      <c r="O70" s="98">
        <f>O8+O14+O17+O20+O23+O24+O29+O32+O35+O38+O42+O43+O44+O45+O46+O47+O48+O49+O50+O51+O52+O53+O54+O55+O56+O60+O66+O67+O68+O69+O58+O57</f>
        <v>195922632.12000003</v>
      </c>
      <c r="P70" s="100">
        <f t="shared" si="2"/>
        <v>38.12210476481051</v>
      </c>
      <c r="Q70" s="98">
        <f>O70</f>
        <v>195922632.12000003</v>
      </c>
      <c r="R70" s="100">
        <f t="shared" si="3"/>
        <v>38.12210476481051</v>
      </c>
      <c r="S70" s="101">
        <f>SUM(S8+S14+S17+S20+S23+S24+S29+S35+S38+S44+S46+S54+S56+S58+S60+S66+S69)</f>
        <v>182612489.27</v>
      </c>
      <c r="T70" s="102"/>
      <c r="V70" s="138"/>
    </row>
    <row r="71" spans="1:22" ht="12.75">
      <c r="A71" s="103"/>
      <c r="D71" s="103"/>
      <c r="E71" s="103"/>
      <c r="F71" s="103"/>
      <c r="G71" s="157">
        <f>468197700+43700000</f>
        <v>511897700</v>
      </c>
      <c r="H71" s="158">
        <v>9225000</v>
      </c>
      <c r="I71" s="157">
        <f>-2135000</f>
        <v>-2135000</v>
      </c>
      <c r="K71" s="143">
        <f>496618954.4+17315503+5053243</f>
        <v>518987700.4</v>
      </c>
      <c r="L71" s="144"/>
      <c r="M71" s="144"/>
      <c r="N71" s="164">
        <f>496618954.4+17315503</f>
        <v>513934457.4</v>
      </c>
      <c r="O71" s="165">
        <f>4568949.58+155652406.49+21041630.86+14659645.22</f>
        <v>195922632.15</v>
      </c>
      <c r="P71" s="145">
        <f t="shared" si="2"/>
        <v>38.122104740977036</v>
      </c>
      <c r="Q71" s="164">
        <v>195922632</v>
      </c>
      <c r="R71" s="145"/>
      <c r="S71" s="175">
        <f>4292081.92+178320407.21</f>
        <v>182612489.13</v>
      </c>
      <c r="U71" s="138"/>
      <c r="V71" s="138">
        <v>0</v>
      </c>
    </row>
    <row r="72" spans="1:21" ht="12.75">
      <c r="A72" s="103"/>
      <c r="D72" s="103"/>
      <c r="E72" s="103"/>
      <c r="F72" s="103"/>
      <c r="I72" s="104"/>
      <c r="K72" s="146"/>
      <c r="L72" s="146"/>
      <c r="M72" s="150"/>
      <c r="N72" s="147"/>
      <c r="O72" s="45"/>
      <c r="P72" s="45"/>
      <c r="Q72" s="45"/>
      <c r="R72" s="45"/>
      <c r="S72" s="148"/>
      <c r="U72" s="138"/>
    </row>
    <row r="73" spans="4:19" ht="12.75">
      <c r="D73" s="103"/>
      <c r="E73" s="103"/>
      <c r="F73" s="103"/>
      <c r="I73" s="104"/>
      <c r="J73" s="104"/>
      <c r="K73" s="104"/>
      <c r="L73" s="104"/>
      <c r="N73" s="77"/>
      <c r="O73" s="77"/>
      <c r="S73" s="138"/>
    </row>
    <row r="74" spans="4:19" ht="12.75">
      <c r="D74" s="103"/>
      <c r="E74" s="103"/>
      <c r="F74" s="103"/>
      <c r="G74" s="104"/>
      <c r="I74" s="104"/>
      <c r="K74" s="104"/>
      <c r="N74" s="77"/>
      <c r="O74" s="77"/>
      <c r="S74" s="1"/>
    </row>
    <row r="75" spans="4:14" ht="12.75">
      <c r="D75" s="103"/>
      <c r="E75" s="103"/>
      <c r="F75" s="103"/>
      <c r="N75" s="77"/>
    </row>
    <row r="76" spans="9:12" ht="12.75">
      <c r="I76" s="104"/>
      <c r="L76" s="104"/>
    </row>
    <row r="77" ht="12.75">
      <c r="J77" s="104"/>
    </row>
    <row r="80" ht="12.75">
      <c r="O80" s="105"/>
    </row>
    <row r="81" ht="12.75">
      <c r="O81" s="105"/>
    </row>
    <row r="82" ht="12.75">
      <c r="O82" s="105"/>
    </row>
    <row r="83" ht="12.75">
      <c r="O83" s="105"/>
    </row>
    <row r="84" ht="12.75">
      <c r="O84" s="105"/>
    </row>
    <row r="85" ht="12.75">
      <c r="O85" s="105"/>
    </row>
    <row r="86" ht="12.75">
      <c r="O86" s="105"/>
    </row>
    <row r="87" ht="12.75">
      <c r="O87" s="105"/>
    </row>
    <row r="88" ht="12.75">
      <c r="O88" s="105"/>
    </row>
    <row r="89" ht="12.75">
      <c r="O89" s="105"/>
    </row>
    <row r="90" ht="12.75">
      <c r="O90" s="105"/>
    </row>
    <row r="91" ht="12.75">
      <c r="O91" s="105"/>
    </row>
    <row r="92" ht="12.75">
      <c r="O92" s="105"/>
    </row>
    <row r="93" ht="12.75">
      <c r="O93" s="105"/>
    </row>
    <row r="94" ht="12.75">
      <c r="O94" s="105"/>
    </row>
    <row r="95" ht="12.75">
      <c r="O95" s="105"/>
    </row>
    <row r="96" ht="12.75">
      <c r="O96" s="105"/>
    </row>
    <row r="97" ht="12.75">
      <c r="O97" s="105"/>
    </row>
    <row r="98" ht="12.75">
      <c r="O98" s="105"/>
    </row>
    <row r="99" ht="12.75">
      <c r="O99" s="105"/>
    </row>
    <row r="100" ht="12.75">
      <c r="O100" s="105"/>
    </row>
    <row r="101" ht="12.75">
      <c r="O101" s="105"/>
    </row>
    <row r="102" ht="12.75">
      <c r="O102" s="105"/>
    </row>
    <row r="103" ht="12.75">
      <c r="O103" s="105"/>
    </row>
    <row r="104" ht="12.75">
      <c r="O104" s="105"/>
    </row>
    <row r="105" ht="12.75">
      <c r="O105" s="105"/>
    </row>
    <row r="106" ht="12.75">
      <c r="O106" s="105"/>
    </row>
    <row r="107" ht="12.75">
      <c r="O107" s="105"/>
    </row>
    <row r="108" ht="12.75">
      <c r="O108" s="105"/>
    </row>
    <row r="109" ht="12.75">
      <c r="O109" s="105"/>
    </row>
    <row r="110" ht="12.75">
      <c r="O110" s="105"/>
    </row>
    <row r="111" ht="12.75">
      <c r="O111" s="105"/>
    </row>
    <row r="112" ht="12.75">
      <c r="O112" s="105"/>
    </row>
    <row r="113" ht="12.75">
      <c r="O113" s="105"/>
    </row>
    <row r="114" ht="12.75">
      <c r="O114" s="105"/>
    </row>
    <row r="115" ht="12.75">
      <c r="O115" s="105"/>
    </row>
  </sheetData>
  <mergeCells count="18">
    <mergeCell ref="R4:R5"/>
    <mergeCell ref="S4:S5"/>
    <mergeCell ref="N4:N5"/>
    <mergeCell ref="O4:O5"/>
    <mergeCell ref="P4:P5"/>
    <mergeCell ref="Q4:Q5"/>
    <mergeCell ref="I4:I5"/>
    <mergeCell ref="J4:J5"/>
    <mergeCell ref="K4:K5"/>
    <mergeCell ref="L4:M4"/>
    <mergeCell ref="E4:E6"/>
    <mergeCell ref="F4:F6"/>
    <mergeCell ref="G4:G5"/>
    <mergeCell ref="H4:H5"/>
    <mergeCell ref="A4:A6"/>
    <mergeCell ref="B4:B6"/>
    <mergeCell ref="C4:C6"/>
    <mergeCell ref="D4:D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ignoredErrors>
    <ignoredError sqref="O60" unlockedFormula="1"/>
    <ignoredError sqref="H60:I60" formulaRange="1"/>
    <ignoredError sqref="Q30 Q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72641266415</dc:creator>
  <cp:keywords/>
  <dc:description/>
  <cp:lastModifiedBy>72641266415</cp:lastModifiedBy>
  <cp:lastPrinted>2011-10-03T19:47:29Z</cp:lastPrinted>
  <dcterms:created xsi:type="dcterms:W3CDTF">2011-04-25T19:38:11Z</dcterms:created>
  <dcterms:modified xsi:type="dcterms:W3CDTF">2012-06-29T11:51:34Z</dcterms:modified>
  <cp:category/>
  <cp:version/>
  <cp:contentType/>
  <cp:contentStatus/>
</cp:coreProperties>
</file>