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38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<sst xmlns="http://schemas.openxmlformats.org/spreadsheetml/2006/main" count="225" uniqueCount="116">
  <si>
    <t>Sigla:</t>
  </si>
  <si>
    <t>TJ-PB</t>
  </si>
  <si>
    <t>Nome do Órgão:</t>
  </si>
  <si>
    <t xml:space="preserve">TRIBUNAL DE JUSTIÇA DA PARAÍBA </t>
  </si>
  <si>
    <t>Autoridade Máxima:</t>
  </si>
  <si>
    <t>LUIZ SILVIO RAMALHO JUNIOR</t>
  </si>
  <si>
    <t>Setor Responsável:</t>
  </si>
  <si>
    <t>Secretaria de Planejamento e Finanças</t>
  </si>
  <si>
    <t>Mês de Referência :</t>
  </si>
  <si>
    <t>Exercício de 2008</t>
  </si>
  <si>
    <t>Data da Publicação:</t>
  </si>
  <si>
    <t>31 março de 2010</t>
  </si>
  <si>
    <t>Inciso I – Despesas com Pessoal e Encargos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</si>
  <si>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</si>
  <si>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</si>
  <si>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</si>
  <si>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</si>
  <si>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</si>
  <si>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</si>
  <si>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</si>
  <si>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</si>
  <si>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</si>
  <si>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</si>
  <si>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</si>
  <si>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</si>
  <si>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</si>
  <si>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Alínea</t>
  </si>
  <si>
    <t>Discriminação das despesas</t>
  </si>
  <si>
    <t xml:space="preserve"> Em R$ 1,00</t>
  </si>
  <si>
    <t xml:space="preserve">a </t>
  </si>
  <si>
    <t>despesas com pessoal ativo</t>
  </si>
  <si>
    <t>b</t>
  </si>
  <si>
    <r>
      <t>despesas com pessoal inativo e pensões</t>
    </r>
    <r>
      <rPr>
        <sz val="10"/>
        <color indexed="10"/>
        <rFont val="Arial"/>
        <family val="2"/>
      </rPr>
      <t>*</t>
    </r>
  </si>
  <si>
    <t>c</t>
  </si>
  <si>
    <t>encargos sociais incidentes sobre a remuneração de pessoal</t>
  </si>
  <si>
    <t>despesas com sentenças judiciais transitadas em julgado (precatórios, requisições de pequeno</t>
  </si>
  <si>
    <t>d</t>
  </si>
  <si>
    <t>valor e débitos judiciais periódicos vincendos) a servidores ou empregados, conforme ação</t>
  </si>
  <si>
    <t>orçamentária específica, apropriado pelo Critério de Competência</t>
  </si>
  <si>
    <t>Inciso II – Outras Despesas de Custeio</t>
  </si>
  <si>
    <t>a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</si>
  <si>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</si>
  <si>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</si>
  <si>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</si>
  <si>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</si>
  <si>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</si>
  <si>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</si>
  <si>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</si>
  <si>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</si>
  <si>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</si>
  <si>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</si>
  <si>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</si>
  <si>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</si>
  <si>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</si>
  <si>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</si>
  <si>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</si>
  <si>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</si>
  <si>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</si>
  <si>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</si>
  <si>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</si>
  <si>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</si>
  <si>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</si>
  <si>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software, locação de equipamentos de</t>
  </si>
  <si>
    <t>processamento de dados, serviços de tecnologia da informação, serviços técnico-profissionais de</t>
  </si>
  <si>
    <t xml:space="preserve">tecnologia da informação, aquisição de software sob encomenda, manutenção e conservação de </t>
  </si>
  <si>
    <t>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</si>
  <si>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</si>
  <si>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</si>
  <si>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</si>
  <si>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</si>
  <si>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</si>
  <si>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</si>
  <si>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</si>
  <si>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 xml:space="preserve">locação de mão de obra e postos de trabalho, ressalvado o apropriado nas alíneas "n" e "o"  </t>
  </si>
  <si>
    <t>r</t>
  </si>
  <si>
    <t>serviço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</si>
  <si>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</si>
  <si>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</si>
  <si>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</si>
  <si>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</si>
  <si>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</si>
  <si>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</si>
  <si>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</si>
  <si>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</si>
  <si>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</si>
  <si>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</si>
  <si>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</si>
  <si>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</si>
  <si>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</si>
  <si>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</si>
  <si>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</si>
  <si>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</si>
  <si>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</si>
  <si>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</si>
  <si>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</si>
  <si>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</si>
  <si>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</si>
  <si>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 xml:space="preserve">Aquisição de Material Permanente – Demais itens 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</si>
  <si>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</si>
  <si>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</si>
  <si>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</si>
  <si>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</si>
  <si>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</si>
  <si>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</si>
  <si>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</si>
  <si>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</si>
  <si>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</si>
  <si>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</si>
  <si>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</si>
  <si>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</si>
  <si>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</si>
  <si>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Inciso VII – Consolidado</t>
  </si>
  <si>
    <t>Receitas         (V+VI)</t>
  </si>
  <si>
    <t>Despesas      (I+II+III+IV)</t>
  </si>
  <si>
    <t>Resultado       (a-b)</t>
  </si>
  <si>
    <r>
      <t>*</t>
    </r>
    <r>
      <rPr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 xml:space="preserve"> Inativos e pensionistas são pagos pela PBPREV.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</si>
</sst>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&quot; (&quot;#,##0.00\);&quot; -&quot;#\ ;@\ "/>
  </numFmts>
  <fonts count="9"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4" fontId="2" fillId="0" borderId="0" xfId="18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4" fontId="4" fillId="0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" fontId="1" fillId="0" borderId="4" xfId="18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4" fontId="1" fillId="0" borderId="6" xfId="18" applyNumberFormat="1" applyFont="1" applyFill="1" applyBorder="1" applyAlignment="1" applyProtection="1">
      <alignment horizontal="right"/>
      <protection/>
    </xf>
    <xf numFmtId="4" fontId="1" fillId="0" borderId="6" xfId="18" applyNumberFormat="1" applyFont="1" applyFill="1" applyBorder="1" applyAlignment="1" applyProtection="1">
      <alignment horizontal="right" vertical="center"/>
      <protection/>
    </xf>
    <xf numFmtId="4" fontId="1" fillId="0" borderId="6" xfId="18" applyNumberFormat="1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>
      <alignment horizontal="center"/>
    </xf>
    <xf numFmtId="4" fontId="1" fillId="0" borderId="7" xfId="18" applyNumberFormat="1" applyFont="1" applyFill="1" applyBorder="1" applyAlignment="1" applyProtection="1">
      <alignment horizontal="right"/>
      <protection/>
    </xf>
    <xf numFmtId="4" fontId="1" fillId="0" borderId="7" xfId="18" applyNumberFormat="1" applyFont="1" applyFill="1" applyBorder="1" applyAlignment="1" applyProtection="1">
      <alignment horizontal="right" vertical="center"/>
      <protection/>
    </xf>
    <xf numFmtId="4" fontId="1" fillId="0" borderId="7" xfId="18" applyNumberFormat="1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" fontId="1" fillId="0" borderId="8" xfId="18" applyNumberFormat="1" applyFont="1" applyFill="1" applyBorder="1" applyAlignment="1" applyProtection="1">
      <alignment horizontal="right"/>
      <protection/>
    </xf>
    <xf numFmtId="4" fontId="1" fillId="0" borderId="8" xfId="18" applyNumberFormat="1" applyFont="1" applyFill="1" applyBorder="1" applyAlignment="1" applyProtection="1">
      <alignment horizontal="right" vertical="center"/>
      <protection/>
    </xf>
    <xf numFmtId="4" fontId="1" fillId="0" borderId="8" xfId="18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>
      <alignment/>
    </xf>
    <xf numFmtId="4" fontId="3" fillId="0" borderId="4" xfId="18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4" fontId="3" fillId="0" borderId="0" xfId="18" applyNumberFormat="1" applyFont="1" applyFill="1" applyBorder="1" applyAlignment="1" applyProtection="1">
      <alignment horizontal="right"/>
      <protection/>
    </xf>
    <xf numFmtId="4" fontId="1" fillId="0" borderId="0" xfId="18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2" borderId="5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0" borderId="5" xfId="18" applyNumberFormat="1" applyFont="1" applyFill="1" applyBorder="1" applyAlignment="1" applyProtection="1">
      <alignment horizontal="right"/>
      <protection/>
    </xf>
    <xf numFmtId="4" fontId="1" fillId="0" borderId="1" xfId="18" applyNumberFormat="1" applyFont="1" applyFill="1" applyBorder="1" applyAlignment="1" applyProtection="1">
      <alignment horizontal="right"/>
      <protection/>
    </xf>
    <xf numFmtId="4" fontId="3" fillId="0" borderId="5" xfId="18" applyNumberFormat="1" applyFont="1" applyFill="1" applyBorder="1" applyAlignment="1" applyProtection="1">
      <alignment horizontal="right"/>
      <protection/>
    </xf>
    <xf numFmtId="4" fontId="3" fillId="0" borderId="1" xfId="18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4" fontId="1" fillId="0" borderId="18" xfId="18" applyNumberFormat="1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3" fillId="0" borderId="22" xfId="18" applyNumberFormat="1" applyFont="1" applyFill="1" applyBorder="1" applyAlignment="1" applyProtection="1">
      <alignment horizontal="right"/>
      <protection/>
    </xf>
    <xf numFmtId="4" fontId="3" fillId="0" borderId="23" xfId="18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0</xdr:row>
      <xdr:rowOff>9525</xdr:rowOff>
    </xdr:from>
    <xdr:to>
      <xdr:col>3</xdr:col>
      <xdr:colOff>695325</xdr:colOff>
      <xdr:row>5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525"/>
          <a:ext cx="7810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workbookViewId="0" topLeftCell="O61">
      <selection activeCell="Q79" sqref="Q79"/>
    </sheetView>
  </sheetViews>
  <sheetFormatPr defaultColWidth="9.140625" defaultRowHeight="12.75"/>
  <cols>
    <col min="1" max="1" width="6.57421875" style="1" customWidth="1"/>
    <col min="2" max="2" width="36.7109375" style="1" customWidth="1"/>
    <col min="3" max="3" width="49.00390625" style="1" customWidth="1"/>
    <col min="4" max="4" width="12.7109375" style="2" customWidth="1"/>
    <col min="5" max="6" width="14.00390625" style="2" customWidth="1"/>
    <col min="7" max="15" width="13.8515625" style="2" customWidth="1"/>
    <col min="16" max="16" width="13.8515625" style="3" customWidth="1"/>
    <col min="17" max="17" width="9.7109375" style="4" customWidth="1"/>
    <col min="18" max="18" width="9.140625" style="4" customWidth="1"/>
    <col min="19" max="19" width="10.140625" style="4" customWidth="1"/>
    <col min="20" max="16384" width="9.140625" style="1" customWidth="1"/>
  </cols>
  <sheetData>
    <row r="1" spans="1:9" ht="12">
      <c r="A1" s="5"/>
      <c r="B1" s="5"/>
      <c r="C1" s="6"/>
      <c r="E1" s="7" t="s">
        <v>0</v>
      </c>
      <c r="F1" s="8"/>
      <c r="G1" s="75" t="s">
        <v>1</v>
      </c>
      <c r="H1" s="75"/>
      <c r="I1" s="75"/>
    </row>
    <row r="2" spans="1:9" ht="12">
      <c r="A2" s="5"/>
      <c r="B2" s="5"/>
      <c r="C2" s="6"/>
      <c r="E2" s="76" t="s">
        <v>2</v>
      </c>
      <c r="F2" s="76"/>
      <c r="G2" s="75" t="s">
        <v>3</v>
      </c>
      <c r="H2" s="75"/>
      <c r="I2" s="75"/>
    </row>
    <row r="3" spans="1:16" ht="12">
      <c r="A3" s="5"/>
      <c r="B3" s="5"/>
      <c r="C3" s="6"/>
      <c r="E3" s="76" t="s">
        <v>4</v>
      </c>
      <c r="F3" s="76"/>
      <c r="G3" s="75" t="s">
        <v>5</v>
      </c>
      <c r="H3" s="75"/>
      <c r="I3" s="75"/>
      <c r="P3" s="9"/>
    </row>
    <row r="4" spans="1:16" ht="12">
      <c r="A4" s="5"/>
      <c r="B4" s="5"/>
      <c r="C4" s="6"/>
      <c r="E4" s="7" t="s">
        <v>6</v>
      </c>
      <c r="F4" s="8"/>
      <c r="G4" s="75" t="s">
        <v>7</v>
      </c>
      <c r="H4" s="75"/>
      <c r="I4" s="75"/>
      <c r="P4" s="9"/>
    </row>
    <row r="5" spans="1:16" ht="12">
      <c r="A5" s="5"/>
      <c r="B5" s="5"/>
      <c r="C5" s="6"/>
      <c r="E5" s="76" t="s">
        <v>8</v>
      </c>
      <c r="F5" s="76"/>
      <c r="G5" s="75" t="s">
        <v>9</v>
      </c>
      <c r="H5" s="75"/>
      <c r="I5" s="75"/>
      <c r="P5" s="9"/>
    </row>
    <row r="6" spans="1:9" ht="12">
      <c r="A6" s="5"/>
      <c r="B6" s="5"/>
      <c r="C6" s="6"/>
      <c r="E6" s="76" t="s">
        <v>10</v>
      </c>
      <c r="F6" s="76"/>
      <c r="G6" s="75" t="s">
        <v>11</v>
      </c>
      <c r="H6" s="75"/>
      <c r="I6" s="75"/>
    </row>
    <row r="7" spans="1:3" ht="12">
      <c r="A7" s="5"/>
      <c r="B7" s="5"/>
      <c r="C7" s="6"/>
    </row>
    <row r="8" spans="1:16" ht="12">
      <c r="A8" s="10" t="s">
        <v>12</v>
      </c>
      <c r="B8" s="10"/>
      <c r="C8" s="11"/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2" t="s">
        <v>21</v>
      </c>
      <c r="M8" s="12" t="s">
        <v>22</v>
      </c>
      <c r="N8" s="12" t="s">
        <v>23</v>
      </c>
      <c r="O8" s="12" t="s">
        <v>24</v>
      </c>
      <c r="P8" s="12" t="s">
        <v>25</v>
      </c>
    </row>
    <row r="9" spans="1:16" ht="12">
      <c r="A9" s="13" t="s">
        <v>26</v>
      </c>
      <c r="B9" s="14" t="s">
        <v>27</v>
      </c>
      <c r="C9" s="15"/>
      <c r="D9" s="16" t="s">
        <v>28</v>
      </c>
      <c r="E9" s="16" t="s">
        <v>28</v>
      </c>
      <c r="F9" s="16" t="s">
        <v>28</v>
      </c>
      <c r="G9" s="16" t="s">
        <v>28</v>
      </c>
      <c r="H9" s="16" t="s">
        <v>28</v>
      </c>
      <c r="I9" s="16" t="s">
        <v>28</v>
      </c>
      <c r="J9" s="16" t="s">
        <v>28</v>
      </c>
      <c r="K9" s="16" t="s">
        <v>28</v>
      </c>
      <c r="L9" s="16" t="s">
        <v>28</v>
      </c>
      <c r="M9" s="16" t="s">
        <v>28</v>
      </c>
      <c r="N9" s="16" t="s">
        <v>28</v>
      </c>
      <c r="O9" s="16" t="s">
        <v>28</v>
      </c>
      <c r="P9" s="16" t="s">
        <v>28</v>
      </c>
    </row>
    <row r="10" spans="1:16" ht="12">
      <c r="A10" s="17" t="s">
        <v>29</v>
      </c>
      <c r="B10" s="18" t="s">
        <v>30</v>
      </c>
      <c r="C10" s="19"/>
      <c r="D10" s="20">
        <f>17495471-2792654</f>
        <v>14702817</v>
      </c>
      <c r="E10" s="20">
        <f>18481985-3064043</f>
        <v>15417942</v>
      </c>
      <c r="F10" s="20">
        <f>18171415.75-3069007</f>
        <v>15102408.75</v>
      </c>
      <c r="G10" s="20">
        <f>18160492-2749447</f>
        <v>15411045</v>
      </c>
      <c r="H10" s="20">
        <f>18586312-599357-2742805</f>
        <v>15244150</v>
      </c>
      <c r="I10" s="20">
        <f>20308868-936584-2195816</f>
        <v>17176468</v>
      </c>
      <c r="J10" s="20">
        <f>18855550.45-309808-2840860</f>
        <v>15704882.45</v>
      </c>
      <c r="K10" s="20">
        <f>18878764-343128-2861464</f>
        <v>15674172</v>
      </c>
      <c r="L10" s="20">
        <f>18797696-333213-2850533</f>
        <v>15613950</v>
      </c>
      <c r="M10" s="20">
        <f>19042546.55-361184-2856499</f>
        <v>15824863.55</v>
      </c>
      <c r="N10" s="20">
        <f>20470645.25-438442-2593239</f>
        <v>17438964.25</v>
      </c>
      <c r="O10" s="20">
        <f>21114810-793777-2597976</f>
        <v>17723057</v>
      </c>
      <c r="P10" s="20">
        <f>SUM(D10:O10)</f>
        <v>191034720</v>
      </c>
    </row>
    <row r="11" spans="1:16" ht="12.75">
      <c r="A11" s="17" t="s">
        <v>31</v>
      </c>
      <c r="B11" s="18" t="s">
        <v>32</v>
      </c>
      <c r="C11" s="1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ht="12">
      <c r="A12" s="17" t="s">
        <v>33</v>
      </c>
      <c r="B12" s="71" t="s">
        <v>34</v>
      </c>
      <c r="C12" s="71"/>
      <c r="D12" s="20">
        <f>2792654</f>
        <v>2792654</v>
      </c>
      <c r="E12" s="20">
        <f>3064043</f>
        <v>3064043</v>
      </c>
      <c r="F12" s="20">
        <f>3069007</f>
        <v>3069007</v>
      </c>
      <c r="G12" s="20">
        <f>2749447</f>
        <v>2749447</v>
      </c>
      <c r="H12" s="20">
        <f>2742805+599353</f>
        <v>3342158</v>
      </c>
      <c r="I12" s="20">
        <f>2195816+936584</f>
        <v>3132400</v>
      </c>
      <c r="J12" s="20">
        <f>2840860+309808</f>
        <v>3150668</v>
      </c>
      <c r="K12" s="20">
        <f>2861464+343128</f>
        <v>3204592</v>
      </c>
      <c r="L12" s="20">
        <f>2850533+333213</f>
        <v>3183746</v>
      </c>
      <c r="M12" s="20">
        <f>2856499+361184</f>
        <v>3217683</v>
      </c>
      <c r="N12" s="20">
        <f>2593239+438442</f>
        <v>3031681</v>
      </c>
      <c r="O12" s="20">
        <f>2597976+793777</f>
        <v>3391753</v>
      </c>
      <c r="P12" s="20">
        <f>SUM(D12:O12)</f>
        <v>37329832</v>
      </c>
    </row>
    <row r="13" spans="1:16" ht="14.25" customHeight="1">
      <c r="A13" s="22"/>
      <c r="B13" s="72" t="s">
        <v>35</v>
      </c>
      <c r="C13" s="72"/>
      <c r="D13" s="23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>
        <f>SUM(D14:O14)</f>
        <v>0</v>
      </c>
    </row>
    <row r="14" spans="1:16" ht="12">
      <c r="A14" s="26" t="s">
        <v>36</v>
      </c>
      <c r="B14" s="73" t="s">
        <v>37</v>
      </c>
      <c r="C14" s="73"/>
      <c r="D14" s="27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9"/>
    </row>
    <row r="15" spans="1:16" ht="12">
      <c r="A15" s="30"/>
      <c r="B15" s="31" t="s">
        <v>38</v>
      </c>
      <c r="C15" s="11"/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4"/>
    </row>
    <row r="16" spans="1:16" ht="12">
      <c r="A16" s="21"/>
      <c r="B16" s="35" t="s">
        <v>25</v>
      </c>
      <c r="C16" s="19"/>
      <c r="D16" s="36">
        <f aca="true" t="shared" si="0" ref="D16:O16">SUM(D10:D15)</f>
        <v>17495471</v>
      </c>
      <c r="E16" s="36">
        <f t="shared" si="0"/>
        <v>18481985</v>
      </c>
      <c r="F16" s="36">
        <f t="shared" si="0"/>
        <v>18171415.75</v>
      </c>
      <c r="G16" s="36">
        <f t="shared" si="0"/>
        <v>18160492</v>
      </c>
      <c r="H16" s="36">
        <f t="shared" si="0"/>
        <v>18586308</v>
      </c>
      <c r="I16" s="36">
        <f t="shared" si="0"/>
        <v>20308868</v>
      </c>
      <c r="J16" s="36">
        <f t="shared" si="0"/>
        <v>18855550.45</v>
      </c>
      <c r="K16" s="36">
        <f t="shared" si="0"/>
        <v>18878764</v>
      </c>
      <c r="L16" s="36">
        <f t="shared" si="0"/>
        <v>18797696</v>
      </c>
      <c r="M16" s="36">
        <f t="shared" si="0"/>
        <v>19042546.55</v>
      </c>
      <c r="N16" s="36">
        <f t="shared" si="0"/>
        <v>20470645.25</v>
      </c>
      <c r="O16" s="36">
        <f t="shared" si="0"/>
        <v>21114810</v>
      </c>
      <c r="P16" s="36">
        <f>SUM(D16:O16)</f>
        <v>228364552</v>
      </c>
    </row>
    <row r="17" spans="1:16" ht="12">
      <c r="A17" s="37"/>
      <c r="B17" s="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2">
      <c r="A18" s="10" t="s">
        <v>39</v>
      </c>
      <c r="B18" s="1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13" t="s">
        <v>26</v>
      </c>
      <c r="B19" s="14"/>
      <c r="C19" s="15"/>
      <c r="D19" s="16" t="s">
        <v>28</v>
      </c>
      <c r="E19" s="16" t="s">
        <v>28</v>
      </c>
      <c r="F19" s="16" t="s">
        <v>28</v>
      </c>
      <c r="G19" s="16" t="s">
        <v>28</v>
      </c>
      <c r="H19" s="16" t="s">
        <v>28</v>
      </c>
      <c r="I19" s="16" t="s">
        <v>28</v>
      </c>
      <c r="J19" s="16" t="s">
        <v>28</v>
      </c>
      <c r="K19" s="16" t="s">
        <v>28</v>
      </c>
      <c r="L19" s="16" t="s">
        <v>28</v>
      </c>
      <c r="M19" s="16" t="s">
        <v>28</v>
      </c>
      <c r="N19" s="16" t="s">
        <v>28</v>
      </c>
      <c r="O19" s="16" t="s">
        <v>28</v>
      </c>
      <c r="P19" s="16" t="s">
        <v>28</v>
      </c>
    </row>
    <row r="20" spans="1:16" ht="12">
      <c r="A20" s="17" t="s">
        <v>40</v>
      </c>
      <c r="B20" s="18" t="s">
        <v>41</v>
      </c>
      <c r="C20" s="19"/>
      <c r="D20" s="20">
        <f>238540</f>
        <v>238540</v>
      </c>
      <c r="E20" s="20">
        <f>201139</f>
        <v>201139</v>
      </c>
      <c r="F20" s="20">
        <f>201198</f>
        <v>201198</v>
      </c>
      <c r="G20" s="20">
        <f>203156</f>
        <v>203156</v>
      </c>
      <c r="H20" s="20">
        <f>203568</f>
        <v>203568</v>
      </c>
      <c r="I20" s="20">
        <f>206139</f>
        <v>206139</v>
      </c>
      <c r="J20" s="20">
        <f>216844</f>
        <v>216844</v>
      </c>
      <c r="K20" s="20">
        <f>205016</f>
        <v>205016</v>
      </c>
      <c r="L20" s="20">
        <f>206945</f>
        <v>206945</v>
      </c>
      <c r="M20" s="20">
        <f>209209</f>
        <v>209209</v>
      </c>
      <c r="N20" s="20">
        <f>212001</f>
        <v>212001</v>
      </c>
      <c r="O20" s="20">
        <f>213599</f>
        <v>213599</v>
      </c>
      <c r="P20" s="20">
        <f aca="true" t="shared" si="1" ref="P20:P31">SUM(D20:O20)</f>
        <v>2517354</v>
      </c>
    </row>
    <row r="21" spans="1:16" ht="12">
      <c r="A21" s="17" t="s">
        <v>31</v>
      </c>
      <c r="B21" s="18" t="s">
        <v>42</v>
      </c>
      <c r="C21" s="19"/>
      <c r="D21" s="20">
        <f>1516600</f>
        <v>1516600</v>
      </c>
      <c r="E21" s="20">
        <f>1269000</f>
        <v>1269000</v>
      </c>
      <c r="F21" s="20">
        <f>1264500</f>
        <v>1264500</v>
      </c>
      <c r="G21" s="20">
        <f>1264000</f>
        <v>1264000</v>
      </c>
      <c r="H21" s="20">
        <v>1264000</v>
      </c>
      <c r="I21" s="20">
        <v>1263000</v>
      </c>
      <c r="J21" s="20">
        <f>1264000</f>
        <v>1264000</v>
      </c>
      <c r="K21" s="20">
        <f>1264883</f>
        <v>1264883</v>
      </c>
      <c r="L21" s="20">
        <f>1263000</f>
        <v>1263000</v>
      </c>
      <c r="M21" s="20">
        <f>1264000</f>
        <v>1264000</v>
      </c>
      <c r="N21" s="20">
        <f>1264600</f>
        <v>1264600</v>
      </c>
      <c r="O21" s="20">
        <f>1265500</f>
        <v>1265500</v>
      </c>
      <c r="P21" s="20">
        <f t="shared" si="1"/>
        <v>15427083</v>
      </c>
    </row>
    <row r="22" spans="1:16" ht="12">
      <c r="A22" s="17" t="s">
        <v>33</v>
      </c>
      <c r="B22" s="18" t="s">
        <v>43</v>
      </c>
      <c r="C22" s="1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f t="shared" si="1"/>
        <v>0</v>
      </c>
    </row>
    <row r="23" spans="1:16" ht="12">
      <c r="A23" s="17" t="s">
        <v>36</v>
      </c>
      <c r="B23" s="18" t="s">
        <v>44</v>
      </c>
      <c r="C23" s="19"/>
      <c r="D23" s="20">
        <v>0</v>
      </c>
      <c r="E23" s="20">
        <f>247400</f>
        <v>247400</v>
      </c>
      <c r="F23" s="20">
        <f>248800</f>
        <v>248800</v>
      </c>
      <c r="G23" s="20">
        <f>248500</f>
        <v>248500</v>
      </c>
      <c r="H23" s="20">
        <f>248700</f>
        <v>248700</v>
      </c>
      <c r="I23" s="20">
        <f>248500</f>
        <v>248500</v>
      </c>
      <c r="J23" s="20">
        <f>248800</f>
        <v>248800</v>
      </c>
      <c r="K23" s="20">
        <f>248800</f>
        <v>248800</v>
      </c>
      <c r="L23" s="20">
        <f>248700</f>
        <v>248700</v>
      </c>
      <c r="M23" s="20">
        <f>248900</f>
        <v>248900</v>
      </c>
      <c r="N23" s="20">
        <f>249000</f>
        <v>249000</v>
      </c>
      <c r="O23" s="20">
        <f>248900</f>
        <v>248900</v>
      </c>
      <c r="P23" s="20">
        <f t="shared" si="1"/>
        <v>2735000</v>
      </c>
    </row>
    <row r="24" spans="1:16" ht="12">
      <c r="A24" s="17" t="s">
        <v>45</v>
      </c>
      <c r="B24" s="18" t="s">
        <v>46</v>
      </c>
      <c r="C24" s="19"/>
      <c r="D24" s="20">
        <f>69859</f>
        <v>69859</v>
      </c>
      <c r="E24" s="20">
        <f>72246+69177</f>
        <v>141423</v>
      </c>
      <c r="F24" s="20">
        <f>105924+58202</f>
        <v>164126</v>
      </c>
      <c r="G24" s="20">
        <f>117269+51389</f>
        <v>168658</v>
      </c>
      <c r="H24" s="20">
        <f>172933</f>
        <v>172933</v>
      </c>
      <c r="I24" s="20">
        <f>126622+27385</f>
        <v>154007</v>
      </c>
      <c r="J24" s="20">
        <f>67028+136648</f>
        <v>203676</v>
      </c>
      <c r="K24" s="20">
        <f>145869+25220</f>
        <v>171089</v>
      </c>
      <c r="L24" s="20">
        <f>63520+45104</f>
        <v>108624</v>
      </c>
      <c r="M24" s="20">
        <f>145657+32241</f>
        <v>177898</v>
      </c>
      <c r="N24" s="20">
        <f>163282+0</f>
        <v>163282</v>
      </c>
      <c r="O24" s="20">
        <f>124575+53402</f>
        <v>177977</v>
      </c>
      <c r="P24" s="20">
        <f t="shared" si="1"/>
        <v>1873552</v>
      </c>
    </row>
    <row r="25" spans="1:16" ht="12">
      <c r="A25" s="17" t="s">
        <v>47</v>
      </c>
      <c r="B25" s="18" t="s">
        <v>48</v>
      </c>
      <c r="C25" s="19"/>
      <c r="D25" s="20">
        <f>0</f>
        <v>0</v>
      </c>
      <c r="E25" s="20">
        <f>12268</f>
        <v>12268</v>
      </c>
      <c r="F25" s="20">
        <f>22323</f>
        <v>22323</v>
      </c>
      <c r="G25" s="20">
        <f>21287</f>
        <v>21287</v>
      </c>
      <c r="H25" s="20">
        <f>11835</f>
        <v>11835</v>
      </c>
      <c r="I25" s="20">
        <f>20971</f>
        <v>20971</v>
      </c>
      <c r="J25" s="20">
        <f>6366+20590</f>
        <v>26956</v>
      </c>
      <c r="K25" s="20">
        <f>1426+7084</f>
        <v>8510</v>
      </c>
      <c r="L25" s="20">
        <f>13551+15970</f>
        <v>29521</v>
      </c>
      <c r="M25" s="20">
        <f>12377+18463</f>
        <v>30840</v>
      </c>
      <c r="N25" s="20">
        <f>10221+9843</f>
        <v>20064</v>
      </c>
      <c r="O25" s="20">
        <f>11779</f>
        <v>11779</v>
      </c>
      <c r="P25" s="20">
        <f t="shared" si="1"/>
        <v>216354</v>
      </c>
    </row>
    <row r="26" spans="1:16" ht="12">
      <c r="A26" s="22" t="s">
        <v>49</v>
      </c>
      <c r="B26" s="40" t="s">
        <v>50</v>
      </c>
      <c r="C26" s="41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f t="shared" si="1"/>
        <v>0</v>
      </c>
    </row>
    <row r="27" spans="1:16" ht="12">
      <c r="A27" s="17" t="s">
        <v>51</v>
      </c>
      <c r="B27" s="18" t="s">
        <v>52</v>
      </c>
      <c r="C27" s="19"/>
      <c r="D27" s="20">
        <f>4200+8000</f>
        <v>12200</v>
      </c>
      <c r="E27" s="20">
        <f>18500+14240</f>
        <v>32740</v>
      </c>
      <c r="F27" s="20">
        <f>20600+11120</f>
        <v>31720</v>
      </c>
      <c r="G27" s="20">
        <f>30200+8000</f>
        <v>38200</v>
      </c>
      <c r="H27" s="20">
        <f>15700+11120</f>
        <v>26820</v>
      </c>
      <c r="I27" s="20">
        <f>27000+4000</f>
        <v>31000</v>
      </c>
      <c r="J27" s="20">
        <f>24700+10240</f>
        <v>34940</v>
      </c>
      <c r="K27" s="20">
        <f>21000+15120</f>
        <v>36120</v>
      </c>
      <c r="L27" s="20">
        <f>15520+15120</f>
        <v>30640</v>
      </c>
      <c r="M27" s="20">
        <f>25940+8692</f>
        <v>34632</v>
      </c>
      <c r="N27" s="20">
        <f>21300+19120</f>
        <v>40420</v>
      </c>
      <c r="O27" s="20">
        <f>19120+0</f>
        <v>19120</v>
      </c>
      <c r="P27" s="20">
        <f t="shared" si="1"/>
        <v>368552</v>
      </c>
    </row>
    <row r="28" spans="1:16" ht="12">
      <c r="A28" s="17" t="s">
        <v>53</v>
      </c>
      <c r="B28" s="18" t="s">
        <v>54</v>
      </c>
      <c r="C28" s="19"/>
      <c r="D28" s="20">
        <f>6539</f>
        <v>6539</v>
      </c>
      <c r="E28" s="20">
        <v>57962</v>
      </c>
      <c r="F28" s="20">
        <v>45372</v>
      </c>
      <c r="G28" s="20">
        <v>54901</v>
      </c>
      <c r="H28" s="20">
        <v>54441</v>
      </c>
      <c r="I28" s="20">
        <v>53521</v>
      </c>
      <c r="J28" s="20">
        <v>59655</v>
      </c>
      <c r="K28" s="20">
        <v>52250</v>
      </c>
      <c r="L28" s="20">
        <v>56093</v>
      </c>
      <c r="M28" s="20">
        <v>54094</v>
      </c>
      <c r="N28" s="20">
        <v>53052</v>
      </c>
      <c r="O28" s="20">
        <v>113753</v>
      </c>
      <c r="P28" s="20">
        <f t="shared" si="1"/>
        <v>661633</v>
      </c>
    </row>
    <row r="29" spans="1:16" ht="12">
      <c r="A29" s="17" t="s">
        <v>55</v>
      </c>
      <c r="B29" s="18" t="s">
        <v>56</v>
      </c>
      <c r="C29" s="19"/>
      <c r="D29" s="20">
        <f>2032</f>
        <v>2032</v>
      </c>
      <c r="E29" s="20">
        <v>269481</v>
      </c>
      <c r="F29" s="20">
        <v>280912</v>
      </c>
      <c r="G29" s="20">
        <v>293074</v>
      </c>
      <c r="H29" s="20">
        <v>296427</v>
      </c>
      <c r="I29" s="20">
        <v>284472</v>
      </c>
      <c r="J29" s="20">
        <v>219142</v>
      </c>
      <c r="K29" s="20">
        <v>209575</v>
      </c>
      <c r="L29" s="20">
        <v>207594</v>
      </c>
      <c r="M29" s="20">
        <v>258942</v>
      </c>
      <c r="N29" s="20">
        <v>289503</v>
      </c>
      <c r="O29" s="20">
        <v>605792</v>
      </c>
      <c r="P29" s="20">
        <f t="shared" si="1"/>
        <v>3216946</v>
      </c>
    </row>
    <row r="30" spans="1:16" ht="12">
      <c r="A30" s="17" t="s">
        <v>57</v>
      </c>
      <c r="B30" s="42" t="s">
        <v>58</v>
      </c>
      <c r="C30" s="19"/>
      <c r="D30" s="20">
        <v>107294</v>
      </c>
      <c r="E30" s="20">
        <v>115676</v>
      </c>
      <c r="F30" s="20">
        <v>95018</v>
      </c>
      <c r="G30" s="20">
        <v>117399</v>
      </c>
      <c r="H30" s="20">
        <v>109905</v>
      </c>
      <c r="I30" s="20">
        <v>111625</v>
      </c>
      <c r="J30" s="20">
        <v>76603</v>
      </c>
      <c r="K30" s="20">
        <v>23188</v>
      </c>
      <c r="L30" s="20">
        <v>192321</v>
      </c>
      <c r="M30" s="20">
        <v>98238</v>
      </c>
      <c r="N30" s="20">
        <v>78911</v>
      </c>
      <c r="O30" s="20">
        <v>130499</v>
      </c>
      <c r="P30" s="20">
        <f t="shared" si="1"/>
        <v>1256677</v>
      </c>
    </row>
    <row r="31" spans="1:16" ht="12">
      <c r="A31" s="17" t="s">
        <v>59</v>
      </c>
      <c r="B31" s="18" t="s">
        <v>60</v>
      </c>
      <c r="C31" s="19"/>
      <c r="D31" s="20">
        <f>0</f>
        <v>0</v>
      </c>
      <c r="E31" s="20">
        <f>108882.07+25975.38+2971.37+1190.16</f>
        <v>139018.98</v>
      </c>
      <c r="F31" s="20">
        <f>108882.07+124593.33</f>
        <v>233475.40000000002</v>
      </c>
      <c r="G31" s="20">
        <f>108882.07+2644.25+142796.28+2310.98+296807.2</f>
        <v>553440.78</v>
      </c>
      <c r="H31" s="20">
        <f>108882.07+168347.73+2634.35+268067.95</f>
        <v>547932.1000000001</v>
      </c>
      <c r="I31" s="20">
        <f>110150+157251.49+2319.6+130735.82</f>
        <v>400456.91</v>
      </c>
      <c r="J31" s="20">
        <f>110150+135667.81+2591.67+130735.82</f>
        <v>379145.30000000005</v>
      </c>
      <c r="K31" s="20">
        <f>110150+167664.49+2683.3+130606.48+130606.48</f>
        <v>541710.75</v>
      </c>
      <c r="L31" s="20">
        <f>110150+154807.19+2740.05</f>
        <v>267697.24</v>
      </c>
      <c r="M31" s="20">
        <f>110150+157335.04+2631.64</f>
        <v>270116.68000000005</v>
      </c>
      <c r="N31" s="20">
        <f>110150+151587.31+3648.36</f>
        <v>265385.67</v>
      </c>
      <c r="O31" s="20">
        <f>110150+110150+165000+148161.42+3100+2753.13+147846.86</f>
        <v>687161.41</v>
      </c>
      <c r="P31" s="20">
        <f t="shared" si="1"/>
        <v>4285541.22</v>
      </c>
    </row>
    <row r="32" spans="1:16" ht="12">
      <c r="A32" s="74" t="s">
        <v>61</v>
      </c>
      <c r="B32" s="43" t="s">
        <v>62</v>
      </c>
      <c r="C32" s="44"/>
      <c r="D32" s="24">
        <f>0</f>
        <v>0</v>
      </c>
      <c r="E32" s="24">
        <f>90000+90000+1508</f>
        <v>181508</v>
      </c>
      <c r="F32" s="24">
        <f>1508+51000</f>
        <v>52508</v>
      </c>
      <c r="G32" s="24">
        <f>90000+1166</f>
        <v>91166</v>
      </c>
      <c r="H32" s="24">
        <f>90000+272707.23</f>
        <v>362707.23</v>
      </c>
      <c r="I32" s="24">
        <f>6200+7548+1508+4524+147262.5</f>
        <v>167042.5</v>
      </c>
      <c r="J32" s="24">
        <f>7548+30480+151537.5+1508</f>
        <v>191073.5</v>
      </c>
      <c r="K32" s="24">
        <f>7548+30480+161325+1508</f>
        <v>200861</v>
      </c>
      <c r="L32" s="24">
        <f>7548+1508+1508+145912.5</f>
        <v>156476.5</v>
      </c>
      <c r="M32" s="24">
        <f>7548+30480+191250</f>
        <v>229278</v>
      </c>
      <c r="N32" s="24">
        <f>7548+1508+30480+30480+153354.37</f>
        <v>223370.37</v>
      </c>
      <c r="O32" s="24">
        <f>7548+7548+1508+30480+532276.78+161775</f>
        <v>741135.78</v>
      </c>
      <c r="P32" s="25">
        <f>SUM(D32:O35)</f>
        <v>2597126.88</v>
      </c>
    </row>
    <row r="33" spans="1:16" ht="12">
      <c r="A33" s="74"/>
      <c r="B33" s="40" t="s">
        <v>63</v>
      </c>
      <c r="C33" s="4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12">
      <c r="A34" s="74"/>
      <c r="B34" s="40" t="s">
        <v>64</v>
      </c>
      <c r="C34" s="4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1:16" ht="12">
      <c r="A35" s="74"/>
      <c r="B35" s="31" t="s">
        <v>65</v>
      </c>
      <c r="C35" s="1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1:16" ht="12">
      <c r="A36" s="17" t="s">
        <v>66</v>
      </c>
      <c r="B36" s="18" t="s">
        <v>67</v>
      </c>
      <c r="C36" s="19"/>
      <c r="D36" s="20">
        <v>0</v>
      </c>
      <c r="E36" s="20">
        <f>93226.53+46554.23</f>
        <v>139780.76</v>
      </c>
      <c r="F36" s="20">
        <f>0</f>
        <v>0</v>
      </c>
      <c r="G36" s="20">
        <f>46554.23+93226.53+93226.53+53355.23</f>
        <v>286362.52</v>
      </c>
      <c r="H36" s="20">
        <f>53355.23+93226.53+53355.23</f>
        <v>199936.99000000002</v>
      </c>
      <c r="I36" s="20">
        <f>74811+93226.53</f>
        <v>168037.53</v>
      </c>
      <c r="J36" s="20">
        <f>53355.23+53355.23</f>
        <v>106710.46</v>
      </c>
      <c r="K36" s="20">
        <f>93226.53+53355.23+93226.53+93226.53</f>
        <v>333034.82</v>
      </c>
      <c r="L36" s="20">
        <v>0</v>
      </c>
      <c r="M36" s="20">
        <f>53355.23+93226.53+53355.23+93226.53+352802.02</f>
        <v>645965.54</v>
      </c>
      <c r="N36" s="20">
        <f>0</f>
        <v>0</v>
      </c>
      <c r="O36" s="20">
        <f>53355.23+93226.53+93226.53+53355.23</f>
        <v>293163.52</v>
      </c>
      <c r="P36" s="20">
        <f aca="true" t="shared" si="2" ref="P36:P49">SUM(D36:O36)</f>
        <v>2172992.14</v>
      </c>
    </row>
    <row r="37" spans="1:16" ht="12">
      <c r="A37" s="17" t="s">
        <v>68</v>
      </c>
      <c r="B37" s="18" t="s">
        <v>69</v>
      </c>
      <c r="C37" s="19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>38071.04+50306.72+41569.47</f>
        <v>129947.23000000001</v>
      </c>
      <c r="L37" s="20">
        <f>77942.76+94325+71383.33</f>
        <v>243651.09000000003</v>
      </c>
      <c r="M37" s="20">
        <f>7172.52+76061.06+9461.25+100495.31+8510.54+83493.11</f>
        <v>285193.79000000004</v>
      </c>
      <c r="N37" s="20">
        <f>76061.06+100495.51+83493.11</f>
        <v>260049.68</v>
      </c>
      <c r="O37" s="20">
        <f>83493.11+5208.12+100495.31+7768.79+2533.58+76061.06</f>
        <v>275559.97</v>
      </c>
      <c r="P37" s="20">
        <f t="shared" si="2"/>
        <v>1194401.76</v>
      </c>
    </row>
    <row r="38" spans="1:16" ht="12">
      <c r="A38" s="17" t="s">
        <v>70</v>
      </c>
      <c r="B38" s="18" t="s">
        <v>71</v>
      </c>
      <c r="C38" s="19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f t="shared" si="2"/>
        <v>0</v>
      </c>
    </row>
    <row r="39" spans="1:16" ht="12">
      <c r="A39" s="45" t="s">
        <v>72</v>
      </c>
      <c r="B39" s="18" t="s">
        <v>73</v>
      </c>
      <c r="C39" s="19"/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f t="shared" si="2"/>
        <v>0</v>
      </c>
    </row>
    <row r="40" spans="1:16" ht="12">
      <c r="A40" s="17" t="s">
        <v>74</v>
      </c>
      <c r="B40" s="18" t="s">
        <v>75</v>
      </c>
      <c r="C40" s="19"/>
      <c r="D40" s="20">
        <f>935</f>
        <v>935</v>
      </c>
      <c r="E40" s="20">
        <v>0</v>
      </c>
      <c r="F40" s="20">
        <f>1620+4170</f>
        <v>5790</v>
      </c>
      <c r="G40" s="20">
        <f>6000+11270</f>
        <v>17270</v>
      </c>
      <c r="H40" s="20">
        <f>1630</f>
        <v>1630</v>
      </c>
      <c r="I40" s="20">
        <f>800+12285+108000+35969.49</f>
        <v>157054.49</v>
      </c>
      <c r="J40" s="20">
        <f>800+41285+52310.25+46696.05</f>
        <v>141091.3</v>
      </c>
      <c r="K40" s="20">
        <f>43540+51589.69</f>
        <v>95129.69</v>
      </c>
      <c r="L40" s="20">
        <f>5080+70081.24</f>
        <v>75161.24</v>
      </c>
      <c r="M40" s="20">
        <f>12220+3251+76670.38</f>
        <v>92141.38</v>
      </c>
      <c r="N40" s="20">
        <f>13195+77368.41</f>
        <v>90563.41</v>
      </c>
      <c r="O40" s="20">
        <f>18000+18000+18000+77873.85</f>
        <v>131873.85</v>
      </c>
      <c r="P40" s="20">
        <f t="shared" si="2"/>
        <v>808640.36</v>
      </c>
    </row>
    <row r="41" spans="1:16" ht="12">
      <c r="A41" s="46" t="s">
        <v>76</v>
      </c>
      <c r="B41" s="18" t="s">
        <v>77</v>
      </c>
      <c r="C41" s="19"/>
      <c r="D41" s="20">
        <v>0</v>
      </c>
      <c r="E41" s="20">
        <v>13975</v>
      </c>
      <c r="F41" s="20">
        <v>15063</v>
      </c>
      <c r="G41" s="20">
        <v>97898.52</v>
      </c>
      <c r="H41" s="20">
        <v>84200</v>
      </c>
      <c r="I41" s="20">
        <v>10000</v>
      </c>
      <c r="J41" s="20">
        <v>6590</v>
      </c>
      <c r="K41" s="20">
        <v>0</v>
      </c>
      <c r="L41" s="20">
        <v>2618</v>
      </c>
      <c r="M41" s="20">
        <v>98603</v>
      </c>
      <c r="N41" s="20">
        <v>399880</v>
      </c>
      <c r="O41" s="20">
        <v>83365</v>
      </c>
      <c r="P41" s="20">
        <f t="shared" si="2"/>
        <v>812192.52</v>
      </c>
    </row>
    <row r="42" spans="1:16" ht="12">
      <c r="A42" s="17" t="s">
        <v>78</v>
      </c>
      <c r="B42" s="18" t="s">
        <v>79</v>
      </c>
      <c r="C42" s="19"/>
      <c r="D42" s="20">
        <f>0</f>
        <v>0</v>
      </c>
      <c r="E42" s="20">
        <f>1816</f>
        <v>1816</v>
      </c>
      <c r="F42" s="20">
        <f>7821</f>
        <v>7821</v>
      </c>
      <c r="G42" s="20">
        <f>54266+422</f>
        <v>54688</v>
      </c>
      <c r="H42" s="20">
        <f>1200</f>
        <v>1200</v>
      </c>
      <c r="I42" s="20">
        <f>279660</f>
        <v>279660</v>
      </c>
      <c r="J42" s="20">
        <f>279660</f>
        <v>279660</v>
      </c>
      <c r="K42" s="20">
        <f>952</f>
        <v>952</v>
      </c>
      <c r="L42" s="20">
        <f>319+1044</f>
        <v>1363</v>
      </c>
      <c r="M42" s="20">
        <f>0</f>
        <v>0</v>
      </c>
      <c r="N42" s="20">
        <f>0</f>
        <v>0</v>
      </c>
      <c r="O42" s="20">
        <f>2380</f>
        <v>2380</v>
      </c>
      <c r="P42" s="20">
        <f t="shared" si="2"/>
        <v>629540</v>
      </c>
    </row>
    <row r="43" spans="1:16" ht="12">
      <c r="A43" s="17" t="s">
        <v>80</v>
      </c>
      <c r="B43" s="18" t="s">
        <v>81</v>
      </c>
      <c r="C43" s="19"/>
      <c r="D43" s="20">
        <v>0</v>
      </c>
      <c r="E43" s="20">
        <v>0</v>
      </c>
      <c r="F43" s="20">
        <v>26915</v>
      </c>
      <c r="G43" s="20">
        <v>0</v>
      </c>
      <c r="H43" s="20">
        <v>0</v>
      </c>
      <c r="I43" s="20">
        <v>0</v>
      </c>
      <c r="J43" s="20">
        <v>7943.22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f t="shared" si="2"/>
        <v>34858.22</v>
      </c>
    </row>
    <row r="44" spans="1:16" ht="12">
      <c r="A44" s="17" t="s">
        <v>82</v>
      </c>
      <c r="B44" s="18" t="s">
        <v>83</v>
      </c>
      <c r="C44" s="19"/>
      <c r="D44" s="20">
        <f>907.82</f>
        <v>907.82</v>
      </c>
      <c r="E44" s="20">
        <f>3128.7</f>
        <v>3128.7</v>
      </c>
      <c r="F44" s="20">
        <v>0</v>
      </c>
      <c r="G44" s="20">
        <f>990.44+2980.99+884.98+48688.26+41389.37+2390.67+1577.21</f>
        <v>98901.92000000001</v>
      </c>
      <c r="H44" s="20">
        <f>500+48988.26+5479.07+3821.93+2817.16+1998.39</f>
        <v>63604.81</v>
      </c>
      <c r="I44" s="20">
        <f>1469.49+1027.83+47973.6+2610.89</f>
        <v>53081.81</v>
      </c>
      <c r="J44" s="20">
        <f>2896+47197.01+47035.89+3602.98+4005.83+3671.61</f>
        <v>108409.31999999999</v>
      </c>
      <c r="K44" s="20">
        <f>6570.06</f>
        <v>6570.06</v>
      </c>
      <c r="L44" s="20">
        <f>526.31+1346.27+54206.87+4579.01+4495.86</f>
        <v>65154.32000000001</v>
      </c>
      <c r="M44" s="20">
        <f>729.39+47619.51+3730.84+3988.13</f>
        <v>56067.87</v>
      </c>
      <c r="N44" s="20">
        <f>1030.3+54777.55+56574.44+4703.19+4174.57+3955.64</f>
        <v>125215.69000000002</v>
      </c>
      <c r="O44" s="20">
        <f>944.14+1370.5+55700.22+3505.41+5652.45</f>
        <v>67172.72</v>
      </c>
      <c r="P44" s="20">
        <f t="shared" si="2"/>
        <v>648215.04</v>
      </c>
    </row>
    <row r="45" spans="1:16" ht="12">
      <c r="A45" s="17" t="s">
        <v>84</v>
      </c>
      <c r="B45" s="18" t="s">
        <v>85</v>
      </c>
      <c r="C45" s="19"/>
      <c r="D45" s="20">
        <v>0</v>
      </c>
      <c r="E45" s="20">
        <v>325</v>
      </c>
      <c r="F45" s="20">
        <v>8274.62</v>
      </c>
      <c r="G45" s="20">
        <v>15390</v>
      </c>
      <c r="H45" s="20">
        <v>4140</v>
      </c>
      <c r="I45" s="20">
        <v>1638</v>
      </c>
      <c r="J45" s="20">
        <v>7320</v>
      </c>
      <c r="K45" s="20">
        <v>1079.25</v>
      </c>
      <c r="L45" s="20">
        <v>6482.13</v>
      </c>
      <c r="M45" s="20">
        <v>643.88</v>
      </c>
      <c r="N45" s="20">
        <v>8714.76</v>
      </c>
      <c r="O45" s="20">
        <v>3060</v>
      </c>
      <c r="P45" s="20">
        <f t="shared" si="2"/>
        <v>57067.64</v>
      </c>
    </row>
    <row r="46" spans="1:16" ht="12">
      <c r="A46" s="17" t="s">
        <v>86</v>
      </c>
      <c r="B46" s="18" t="s">
        <v>87</v>
      </c>
      <c r="C46" s="19"/>
      <c r="D46" s="20">
        <f>19272.8+7608</f>
        <v>26880.8</v>
      </c>
      <c r="E46" s="20">
        <f>249465.4+8709</f>
        <v>258174.4</v>
      </c>
      <c r="F46" s="20">
        <v>81845.06</v>
      </c>
      <c r="G46" s="20">
        <f>119505.06+32384</f>
        <v>151889.06</v>
      </c>
      <c r="H46" s="20">
        <f>86448.79+22248</f>
        <v>108696.79</v>
      </c>
      <c r="I46" s="20">
        <f>98541.29+19483</f>
        <v>118024.29</v>
      </c>
      <c r="J46" s="20">
        <f>102191.4+8270</f>
        <v>110461.4</v>
      </c>
      <c r="K46" s="20">
        <f>71972.17+12270</f>
        <v>84242.17</v>
      </c>
      <c r="L46" s="20">
        <f>90535.52+18256</f>
        <v>108791.52</v>
      </c>
      <c r="M46" s="20">
        <f>79894.63+131484</f>
        <v>211378.63</v>
      </c>
      <c r="N46" s="20">
        <f>45402.1+124673</f>
        <v>170075.1</v>
      </c>
      <c r="O46" s="20">
        <f>243927.01+22314</f>
        <v>266241.01</v>
      </c>
      <c r="P46" s="20">
        <f t="shared" si="2"/>
        <v>1696700.2300000002</v>
      </c>
    </row>
    <row r="47" spans="1:16" ht="12">
      <c r="A47" s="17" t="s">
        <v>88</v>
      </c>
      <c r="B47" s="18" t="s">
        <v>89</v>
      </c>
      <c r="C47" s="19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f t="shared" si="2"/>
        <v>0</v>
      </c>
    </row>
    <row r="48" spans="1:16" ht="12">
      <c r="A48" s="17" t="s">
        <v>90</v>
      </c>
      <c r="B48" s="18" t="s">
        <v>91</v>
      </c>
      <c r="C48" s="19"/>
      <c r="D48" s="20">
        <v>271087</v>
      </c>
      <c r="E48" s="20">
        <v>511848</v>
      </c>
      <c r="F48" s="20">
        <v>78033</v>
      </c>
      <c r="G48" s="20">
        <f>246394+339610</f>
        <v>586004</v>
      </c>
      <c r="H48" s="20">
        <v>454295</v>
      </c>
      <c r="I48" s="20">
        <v>306587</v>
      </c>
      <c r="J48" s="20">
        <v>128494</v>
      </c>
      <c r="K48" s="20">
        <v>1130197</v>
      </c>
      <c r="L48" s="20">
        <v>504739</v>
      </c>
      <c r="M48" s="20">
        <f>173201+260302</f>
        <v>433503</v>
      </c>
      <c r="N48" s="20">
        <v>877121</v>
      </c>
      <c r="O48" s="20">
        <f>1272872+141393</f>
        <v>1414265</v>
      </c>
      <c r="P48" s="20">
        <f t="shared" si="2"/>
        <v>6696173</v>
      </c>
    </row>
    <row r="49" spans="1:17" ht="12">
      <c r="A49" s="17"/>
      <c r="B49" s="35" t="s">
        <v>25</v>
      </c>
      <c r="C49" s="19"/>
      <c r="D49" s="36">
        <f aca="true" t="shared" si="3" ref="D49:K49">SUM(D20:D48)</f>
        <v>2252874.62</v>
      </c>
      <c r="E49" s="36">
        <f t="shared" si="3"/>
        <v>3596663.8400000003</v>
      </c>
      <c r="F49" s="36">
        <f t="shared" si="3"/>
        <v>2863694.08</v>
      </c>
      <c r="G49" s="36">
        <f t="shared" si="3"/>
        <v>4362185.800000001</v>
      </c>
      <c r="H49" s="36">
        <f t="shared" si="3"/>
        <v>4216971.92</v>
      </c>
      <c r="I49" s="36">
        <f t="shared" si="3"/>
        <v>4034817.53</v>
      </c>
      <c r="J49" s="36">
        <f t="shared" si="3"/>
        <v>3817514.4999999995</v>
      </c>
      <c r="K49" s="36">
        <f t="shared" si="3"/>
        <v>4743154.97</v>
      </c>
      <c r="L49" s="36">
        <f>SUM(L20:L48)+L50</f>
        <v>3775572.04</v>
      </c>
      <c r="M49" s="36">
        <f>SUM(M20:M48)</f>
        <v>4699644.7700000005</v>
      </c>
      <c r="N49" s="36">
        <f>SUM(N20:N48)</f>
        <v>4791208.68</v>
      </c>
      <c r="O49" s="36">
        <f>SUM(O20:O48)</f>
        <v>6752297.26</v>
      </c>
      <c r="P49" s="36">
        <f t="shared" si="2"/>
        <v>49906600.010000005</v>
      </c>
      <c r="Q49" s="47"/>
    </row>
    <row r="50" spans="4:16" ht="12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2">
      <c r="A51" s="10" t="s">
        <v>92</v>
      </c>
      <c r="B51" s="1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">
      <c r="A52" s="13" t="s">
        <v>26</v>
      </c>
      <c r="B52" s="14"/>
      <c r="C52" s="15"/>
      <c r="D52" s="16" t="s">
        <v>28</v>
      </c>
      <c r="E52" s="16" t="s">
        <v>28</v>
      </c>
      <c r="F52" s="16" t="s">
        <v>28</v>
      </c>
      <c r="G52" s="16" t="s">
        <v>28</v>
      </c>
      <c r="H52" s="16" t="s">
        <v>28</v>
      </c>
      <c r="I52" s="16" t="s">
        <v>28</v>
      </c>
      <c r="J52" s="16" t="s">
        <v>28</v>
      </c>
      <c r="K52" s="16" t="s">
        <v>28</v>
      </c>
      <c r="L52" s="16" t="s">
        <v>28</v>
      </c>
      <c r="M52" s="16" t="s">
        <v>28</v>
      </c>
      <c r="N52" s="16" t="s">
        <v>28</v>
      </c>
      <c r="O52" s="16" t="s">
        <v>28</v>
      </c>
      <c r="P52" s="16" t="s">
        <v>28</v>
      </c>
    </row>
    <row r="53" spans="1:16" ht="12">
      <c r="A53" s="17" t="s">
        <v>29</v>
      </c>
      <c r="B53" s="18" t="s">
        <v>93</v>
      </c>
      <c r="C53" s="19"/>
      <c r="D53" s="20">
        <f>607+3000</f>
        <v>3607</v>
      </c>
      <c r="E53" s="20">
        <f>54640+0+31617</f>
        <v>86257</v>
      </c>
      <c r="F53" s="20">
        <f>49495+151829</f>
        <v>201324</v>
      </c>
      <c r="G53" s="20">
        <f>6358+9444+23614+37650</f>
        <v>77066</v>
      </c>
      <c r="H53" s="20">
        <f>60437+13907+74945</f>
        <v>149289</v>
      </c>
      <c r="I53" s="20">
        <f>130199+5456</f>
        <v>135655</v>
      </c>
      <c r="J53" s="20">
        <f>1337187+660857+7151974+1200+143295+418015+3681+872</f>
        <v>9717081</v>
      </c>
      <c r="K53" s="20">
        <f>101727+266355+908301</f>
        <v>1276383</v>
      </c>
      <c r="L53" s="20">
        <f>4751+6130+340066+1203983</f>
        <v>1554930</v>
      </c>
      <c r="M53" s="20">
        <f>5070+14001.78+31486</f>
        <v>50557.78</v>
      </c>
      <c r="N53" s="20">
        <f>13770+533853+183784</f>
        <v>731407</v>
      </c>
      <c r="O53" s="20">
        <f>37000-12570+616124+1867767+9250+8032</f>
        <v>2525603</v>
      </c>
      <c r="P53" s="20">
        <f aca="true" t="shared" si="4" ref="P53:P58">SUM(D53:O53)</f>
        <v>16509159.78</v>
      </c>
    </row>
    <row r="54" spans="1:16" ht="12">
      <c r="A54" s="17" t="s">
        <v>31</v>
      </c>
      <c r="B54" s="18" t="s">
        <v>94</v>
      </c>
      <c r="C54" s="19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f>125900</f>
        <v>125900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f t="shared" si="4"/>
        <v>125900</v>
      </c>
    </row>
    <row r="55" spans="1:16" ht="12">
      <c r="A55" s="17" t="s">
        <v>33</v>
      </c>
      <c r="B55" s="70" t="s">
        <v>95</v>
      </c>
      <c r="C55" s="70"/>
      <c r="D55" s="20">
        <f>0</f>
        <v>0</v>
      </c>
      <c r="E55" s="20">
        <f>190</f>
        <v>190</v>
      </c>
      <c r="F55" s="20">
        <f>60559+342356</f>
        <v>402915</v>
      </c>
      <c r="G55" s="20">
        <f>0</f>
        <v>0</v>
      </c>
      <c r="H55" s="20">
        <f>8281</f>
        <v>8281</v>
      </c>
      <c r="I55" s="20">
        <f>398334</f>
        <v>398334</v>
      </c>
      <c r="J55" s="20">
        <v>0</v>
      </c>
      <c r="K55" s="20">
        <f>2000-2640</f>
        <v>-640</v>
      </c>
      <c r="L55" s="20">
        <f>252000</f>
        <v>252000</v>
      </c>
      <c r="M55" s="20">
        <f>200000+136440</f>
        <v>336440</v>
      </c>
      <c r="N55" s="20">
        <f>501196+1200</f>
        <v>502396</v>
      </c>
      <c r="O55" s="20">
        <f>1477200+985875+315385</f>
        <v>2778460</v>
      </c>
      <c r="P55" s="20">
        <f t="shared" si="4"/>
        <v>4678376</v>
      </c>
    </row>
    <row r="56" spans="1:16" ht="12">
      <c r="A56" s="17" t="s">
        <v>36</v>
      </c>
      <c r="B56" s="70" t="s">
        <v>96</v>
      </c>
      <c r="C56" s="70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f t="shared" si="4"/>
        <v>0</v>
      </c>
    </row>
    <row r="57" spans="1:16" ht="12">
      <c r="A57" s="17" t="s">
        <v>45</v>
      </c>
      <c r="B57" s="18" t="s">
        <v>97</v>
      </c>
      <c r="C57" s="19"/>
      <c r="D57" s="20">
        <f>61788</f>
        <v>61788</v>
      </c>
      <c r="E57" s="20">
        <f>11212+14233</f>
        <v>25445</v>
      </c>
      <c r="F57" s="20">
        <f>68832+14222</f>
        <v>83054</v>
      </c>
      <c r="G57" s="20">
        <f>35679+136451</f>
        <v>172130</v>
      </c>
      <c r="H57" s="20">
        <f>784640</f>
        <v>784640</v>
      </c>
      <c r="I57" s="20">
        <f>487709</f>
        <v>487709</v>
      </c>
      <c r="J57" s="20">
        <f>8808+9063</f>
        <v>17871</v>
      </c>
      <c r="K57" s="20">
        <f>10193.85+1294</f>
        <v>11487.85</v>
      </c>
      <c r="L57" s="20">
        <f>201220</f>
        <v>201220</v>
      </c>
      <c r="M57" s="20">
        <f>122881+2396</f>
        <v>125277</v>
      </c>
      <c r="N57" s="20">
        <f>540444+2500</f>
        <v>542944</v>
      </c>
      <c r="O57" s="20">
        <f>1236959</f>
        <v>1236959</v>
      </c>
      <c r="P57" s="20">
        <f t="shared" si="4"/>
        <v>3750524.85</v>
      </c>
    </row>
    <row r="58" spans="1:16" ht="12">
      <c r="A58" s="21"/>
      <c r="B58" s="35" t="s">
        <v>25</v>
      </c>
      <c r="C58" s="19"/>
      <c r="D58" s="36">
        <f aca="true" t="shared" si="5" ref="D58:O58">SUM(D53:D57)</f>
        <v>65395</v>
      </c>
      <c r="E58" s="36">
        <f t="shared" si="5"/>
        <v>111892</v>
      </c>
      <c r="F58" s="36">
        <f t="shared" si="5"/>
        <v>687293</v>
      </c>
      <c r="G58" s="36">
        <f t="shared" si="5"/>
        <v>249196</v>
      </c>
      <c r="H58" s="36">
        <f t="shared" si="5"/>
        <v>942210</v>
      </c>
      <c r="I58" s="36">
        <f t="shared" si="5"/>
        <v>1021698</v>
      </c>
      <c r="J58" s="36">
        <f t="shared" si="5"/>
        <v>9860852</v>
      </c>
      <c r="K58" s="36">
        <f t="shared" si="5"/>
        <v>1287230.85</v>
      </c>
      <c r="L58" s="36">
        <f t="shared" si="5"/>
        <v>2008150</v>
      </c>
      <c r="M58" s="36">
        <f t="shared" si="5"/>
        <v>512274.78</v>
      </c>
      <c r="N58" s="36">
        <f t="shared" si="5"/>
        <v>1776747</v>
      </c>
      <c r="O58" s="36">
        <f t="shared" si="5"/>
        <v>6541022</v>
      </c>
      <c r="P58" s="36">
        <f t="shared" si="4"/>
        <v>25063960.63</v>
      </c>
    </row>
    <row r="59" spans="4:16" ht="12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12">
      <c r="A60" s="10" t="s">
        <v>98</v>
      </c>
      <c r="B60" s="1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2">
      <c r="A61" s="13" t="s">
        <v>26</v>
      </c>
      <c r="B61" s="14"/>
      <c r="C61" s="15"/>
      <c r="D61" s="16" t="s">
        <v>28</v>
      </c>
      <c r="E61" s="16" t="s">
        <v>28</v>
      </c>
      <c r="F61" s="16" t="s">
        <v>28</v>
      </c>
      <c r="G61" s="16" t="s">
        <v>28</v>
      </c>
      <c r="H61" s="16" t="s">
        <v>28</v>
      </c>
      <c r="I61" s="16" t="s">
        <v>28</v>
      </c>
      <c r="J61" s="16" t="s">
        <v>28</v>
      </c>
      <c r="K61" s="16" t="s">
        <v>28</v>
      </c>
      <c r="L61" s="16" t="s">
        <v>28</v>
      </c>
      <c r="M61" s="16" t="s">
        <v>28</v>
      </c>
      <c r="N61" s="16" t="s">
        <v>28</v>
      </c>
      <c r="O61" s="16" t="s">
        <v>28</v>
      </c>
      <c r="P61" s="16" t="s">
        <v>28</v>
      </c>
    </row>
    <row r="62" spans="1:16" ht="12">
      <c r="A62" s="17" t="s">
        <v>29</v>
      </c>
      <c r="B62" s="70" t="s">
        <v>99</v>
      </c>
      <c r="C62" s="70"/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f>SUM(D62:O62)</f>
        <v>0</v>
      </c>
    </row>
    <row r="63" spans="1:16" ht="12">
      <c r="A63" s="17" t="s">
        <v>31</v>
      </c>
      <c r="B63" s="18" t="s">
        <v>100</v>
      </c>
      <c r="C63" s="19"/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f>SUM(D63:O63)</f>
        <v>0</v>
      </c>
    </row>
    <row r="64" spans="1:16" ht="12">
      <c r="A64" s="21"/>
      <c r="B64" s="35" t="s">
        <v>25</v>
      </c>
      <c r="C64" s="19"/>
      <c r="D64" s="36">
        <f>SUM(D62:D63)</f>
        <v>0</v>
      </c>
      <c r="E64" s="36">
        <f>SUM(E62:E63)</f>
        <v>0</v>
      </c>
      <c r="F64" s="36">
        <v>0</v>
      </c>
      <c r="G64" s="36">
        <f aca="true" t="shared" si="6" ref="G64:O64">SUM(G62:G63)</f>
        <v>0</v>
      </c>
      <c r="H64" s="36">
        <f t="shared" si="6"/>
        <v>0</v>
      </c>
      <c r="I64" s="36">
        <f t="shared" si="6"/>
        <v>0</v>
      </c>
      <c r="J64" s="36">
        <f t="shared" si="6"/>
        <v>0</v>
      </c>
      <c r="K64" s="36">
        <f t="shared" si="6"/>
        <v>0</v>
      </c>
      <c r="L64" s="36">
        <f t="shared" si="6"/>
        <v>0</v>
      </c>
      <c r="M64" s="36">
        <f t="shared" si="6"/>
        <v>0</v>
      </c>
      <c r="N64" s="36">
        <f t="shared" si="6"/>
        <v>0</v>
      </c>
      <c r="O64" s="36">
        <f t="shared" si="6"/>
        <v>0</v>
      </c>
      <c r="P64" s="36">
        <f>SUM(D64:O64)</f>
        <v>0</v>
      </c>
    </row>
    <row r="65" spans="4:16" ht="12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2">
      <c r="A66" s="10" t="s">
        <v>101</v>
      </c>
      <c r="B66" s="1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ht="12">
      <c r="A67" s="13" t="s">
        <v>26</v>
      </c>
      <c r="B67" s="14"/>
      <c r="C67" s="15"/>
      <c r="D67" s="16" t="s">
        <v>28</v>
      </c>
      <c r="E67" s="16" t="s">
        <v>28</v>
      </c>
      <c r="F67" s="16" t="s">
        <v>28</v>
      </c>
      <c r="G67" s="16" t="s">
        <v>28</v>
      </c>
      <c r="H67" s="16" t="s">
        <v>28</v>
      </c>
      <c r="I67" s="16" t="s">
        <v>28</v>
      </c>
      <c r="J67" s="16" t="s">
        <v>28</v>
      </c>
      <c r="K67" s="16" t="s">
        <v>28</v>
      </c>
      <c r="L67" s="16" t="s">
        <v>28</v>
      </c>
      <c r="M67" s="16" t="s">
        <v>28</v>
      </c>
      <c r="N67" s="16" t="s">
        <v>28</v>
      </c>
      <c r="O67" s="16" t="s">
        <v>28</v>
      </c>
      <c r="P67" s="16" t="s">
        <v>28</v>
      </c>
    </row>
    <row r="68" spans="1:16" ht="12">
      <c r="A68" s="48" t="s">
        <v>40</v>
      </c>
      <c r="B68" s="49" t="s">
        <v>102</v>
      </c>
      <c r="C68" s="19"/>
      <c r="D68" s="20">
        <v>20642309.04</v>
      </c>
      <c r="E68" s="20">
        <v>21187392.03</v>
      </c>
      <c r="F68" s="20">
        <v>22678934.04</v>
      </c>
      <c r="G68" s="20">
        <v>19393361.9</v>
      </c>
      <c r="H68" s="20">
        <v>18958570.63</v>
      </c>
      <c r="I68" s="20">
        <v>20116793.73</v>
      </c>
      <c r="J68" s="20">
        <v>12125107</v>
      </c>
      <c r="K68" s="20">
        <v>23983884.32</v>
      </c>
      <c r="L68" s="20">
        <v>19609555.26</v>
      </c>
      <c r="M68" s="20">
        <v>20667375.91</v>
      </c>
      <c r="N68" s="20">
        <v>16094229.77</v>
      </c>
      <c r="O68" s="20">
        <v>12907038.41</v>
      </c>
      <c r="P68" s="20">
        <v>228364552.04</v>
      </c>
    </row>
    <row r="69" spans="1:16" ht="12">
      <c r="A69" s="48" t="s">
        <v>31</v>
      </c>
      <c r="B69" s="49" t="s">
        <v>103</v>
      </c>
      <c r="C69" s="19"/>
      <c r="D69" s="20">
        <v>3084368.38</v>
      </c>
      <c r="E69" s="20">
        <v>6884368.38</v>
      </c>
      <c r="F69" s="20">
        <v>-999882</v>
      </c>
      <c r="G69" s="20">
        <v>4096411.07</v>
      </c>
      <c r="H69" s="20">
        <v>5584368.38</v>
      </c>
      <c r="I69" s="20">
        <v>3084403.83</v>
      </c>
      <c r="J69" s="20">
        <v>3868436.76</v>
      </c>
      <c r="K69" s="20">
        <v>-198389.25</v>
      </c>
      <c r="L69" s="20">
        <v>5088061.38</v>
      </c>
      <c r="M69" s="20">
        <v>3584368.38</v>
      </c>
      <c r="N69" s="20">
        <v>5868736.76</v>
      </c>
      <c r="O69" s="20">
        <v>4886879.89</v>
      </c>
      <c r="P69" s="20">
        <v>44832131.95999999</v>
      </c>
    </row>
    <row r="70" spans="1:16" ht="12">
      <c r="A70" s="48" t="s">
        <v>33</v>
      </c>
      <c r="B70" s="49" t="s">
        <v>104</v>
      </c>
      <c r="C70" s="19"/>
      <c r="D70" s="20">
        <v>500000</v>
      </c>
      <c r="E70" s="20">
        <v>0</v>
      </c>
      <c r="F70" s="20">
        <v>0</v>
      </c>
      <c r="G70" s="20">
        <v>1000000</v>
      </c>
      <c r="H70" s="20">
        <v>500000</v>
      </c>
      <c r="I70" s="20">
        <v>500000</v>
      </c>
      <c r="J70" s="20">
        <v>8500000</v>
      </c>
      <c r="K70" s="20">
        <v>997360</v>
      </c>
      <c r="L70" s="20">
        <v>0</v>
      </c>
      <c r="M70" s="20">
        <v>500000</v>
      </c>
      <c r="N70" s="20">
        <v>2500000</v>
      </c>
      <c r="O70" s="20">
        <v>3213000</v>
      </c>
      <c r="P70" s="20">
        <v>18210360</v>
      </c>
    </row>
    <row r="71" spans="1:16" ht="12">
      <c r="A71" s="48" t="s">
        <v>36</v>
      </c>
      <c r="B71" s="49" t="s">
        <v>105</v>
      </c>
      <c r="C71" s="19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1:16" ht="12">
      <c r="A72" s="21"/>
      <c r="B72" s="35" t="s">
        <v>25</v>
      </c>
      <c r="C72" s="19"/>
      <c r="D72" s="36">
        <f>SUM(D68:D71)</f>
        <v>24226677.419999998</v>
      </c>
      <c r="E72" s="36">
        <f aca="true" t="shared" si="7" ref="E72:O72">SUM(E68:E71)</f>
        <v>28071760.41</v>
      </c>
      <c r="F72" s="36">
        <f t="shared" si="7"/>
        <v>21679052.04</v>
      </c>
      <c r="G72" s="36">
        <f t="shared" si="7"/>
        <v>24489772.97</v>
      </c>
      <c r="H72" s="36">
        <f t="shared" si="7"/>
        <v>25042939.009999998</v>
      </c>
      <c r="I72" s="36">
        <f t="shared" si="7"/>
        <v>23701197.560000002</v>
      </c>
      <c r="J72" s="36">
        <f t="shared" si="7"/>
        <v>24493543.759999998</v>
      </c>
      <c r="K72" s="36">
        <f t="shared" si="7"/>
        <v>24782855.07</v>
      </c>
      <c r="L72" s="36">
        <f t="shared" si="7"/>
        <v>24697616.64</v>
      </c>
      <c r="M72" s="36">
        <f t="shared" si="7"/>
        <v>24751744.29</v>
      </c>
      <c r="N72" s="36">
        <f t="shared" si="7"/>
        <v>24462966.53</v>
      </c>
      <c r="O72" s="36">
        <f t="shared" si="7"/>
        <v>21006918.3</v>
      </c>
      <c r="P72" s="36">
        <f>SUM(P68:P71)</f>
        <v>291407044</v>
      </c>
    </row>
    <row r="73" spans="4:16" ht="12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ht="12">
      <c r="A74" s="10" t="s">
        <v>106</v>
      </c>
      <c r="B74" s="1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12">
      <c r="A75" s="13" t="s">
        <v>26</v>
      </c>
      <c r="B75" s="14"/>
      <c r="C75" s="15"/>
      <c r="D75" s="16" t="s">
        <v>28</v>
      </c>
      <c r="E75" s="16" t="s">
        <v>28</v>
      </c>
      <c r="F75" s="16" t="s">
        <v>28</v>
      </c>
      <c r="G75" s="16" t="s">
        <v>28</v>
      </c>
      <c r="H75" s="50" t="s">
        <v>28</v>
      </c>
      <c r="I75" s="16" t="s">
        <v>28</v>
      </c>
      <c r="J75" s="50" t="s">
        <v>28</v>
      </c>
      <c r="K75" s="16" t="s">
        <v>28</v>
      </c>
      <c r="L75" s="51" t="s">
        <v>28</v>
      </c>
      <c r="M75" s="16" t="s">
        <v>28</v>
      </c>
      <c r="N75" s="51" t="s">
        <v>28</v>
      </c>
      <c r="O75" s="16" t="s">
        <v>28</v>
      </c>
      <c r="P75" s="16" t="s">
        <v>28</v>
      </c>
    </row>
    <row r="76" spans="1:16" ht="12">
      <c r="A76" s="17" t="s">
        <v>40</v>
      </c>
      <c r="B76" s="18" t="s">
        <v>107</v>
      </c>
      <c r="C76" s="19"/>
      <c r="D76" s="52">
        <v>964882.85</v>
      </c>
      <c r="E76" s="52">
        <v>926419.43</v>
      </c>
      <c r="F76" s="20">
        <v>1072358.51</v>
      </c>
      <c r="G76" s="20">
        <v>1604390.33</v>
      </c>
      <c r="H76" s="53">
        <v>1214088</v>
      </c>
      <c r="I76" s="20">
        <v>1197286</v>
      </c>
      <c r="J76" s="52">
        <v>1205734</v>
      </c>
      <c r="K76" s="20">
        <v>1022148</v>
      </c>
      <c r="L76" s="53">
        <v>903988</v>
      </c>
      <c r="M76" s="20">
        <v>1373995</v>
      </c>
      <c r="N76" s="53">
        <v>1233983</v>
      </c>
      <c r="O76" s="20">
        <v>1233983</v>
      </c>
      <c r="P76" s="20">
        <f>SUM(D76:O76)</f>
        <v>13953256.120000001</v>
      </c>
    </row>
    <row r="77" spans="1:16" ht="12">
      <c r="A77" s="17" t="s">
        <v>31</v>
      </c>
      <c r="B77" s="18" t="s">
        <v>108</v>
      </c>
      <c r="C77" s="19"/>
      <c r="D77" s="20">
        <v>248671</v>
      </c>
      <c r="E77" s="20">
        <v>232983</v>
      </c>
      <c r="F77" s="20">
        <v>358767</v>
      </c>
      <c r="G77" s="20">
        <v>368050</v>
      </c>
      <c r="H77" s="52">
        <v>286458</v>
      </c>
      <c r="I77" s="20">
        <v>317330</v>
      </c>
      <c r="J77" s="52">
        <v>309945</v>
      </c>
      <c r="K77" s="20">
        <v>303122</v>
      </c>
      <c r="L77" s="53">
        <v>336563</v>
      </c>
      <c r="M77" s="20">
        <v>329977</v>
      </c>
      <c r="N77" s="53">
        <v>399224</v>
      </c>
      <c r="O77" s="20">
        <v>203892</v>
      </c>
      <c r="P77" s="20">
        <f>SUM(D77:O77)</f>
        <v>3694982</v>
      </c>
    </row>
    <row r="78" spans="1:16" ht="12">
      <c r="A78" s="17" t="s">
        <v>33</v>
      </c>
      <c r="B78" s="18" t="s">
        <v>109</v>
      </c>
      <c r="C78" s="19"/>
      <c r="D78" s="52">
        <v>76592.59</v>
      </c>
      <c r="E78" s="52">
        <v>64594.38</v>
      </c>
      <c r="F78" s="20">
        <v>71877.26</v>
      </c>
      <c r="G78" s="20">
        <v>74981.64</v>
      </c>
      <c r="H78" s="53">
        <v>77843</v>
      </c>
      <c r="I78" s="20">
        <v>74214</v>
      </c>
      <c r="J78" s="52">
        <v>98629</v>
      </c>
      <c r="K78" s="20">
        <v>78510</v>
      </c>
      <c r="L78" s="53">
        <v>96185</v>
      </c>
      <c r="M78" s="20">
        <v>71114</v>
      </c>
      <c r="N78" s="53">
        <v>82492</v>
      </c>
      <c r="O78" s="20">
        <v>104858</v>
      </c>
      <c r="P78" s="20">
        <f>SUM(D78:O78)</f>
        <v>971890.87</v>
      </c>
    </row>
    <row r="79" spans="1:16" ht="12">
      <c r="A79" s="17" t="s">
        <v>36</v>
      </c>
      <c r="B79" s="18" t="s">
        <v>110</v>
      </c>
      <c r="C79" s="19"/>
      <c r="D79" s="20">
        <f>138013.41</f>
        <v>138013.41</v>
      </c>
      <c r="E79" s="20">
        <v>167825.15</v>
      </c>
      <c r="F79" s="20">
        <v>220020.81</v>
      </c>
      <c r="G79" s="20">
        <v>464914.48</v>
      </c>
      <c r="H79" s="52">
        <v>251974.54</v>
      </c>
      <c r="I79" s="20">
        <v>309254.57</v>
      </c>
      <c r="J79" s="52">
        <v>345463.6</v>
      </c>
      <c r="K79" s="20">
        <v>6301389.09</v>
      </c>
      <c r="L79" s="53">
        <v>398971.92</v>
      </c>
      <c r="M79" s="20">
        <v>424738.88</v>
      </c>
      <c r="N79" s="53">
        <v>395970.42</v>
      </c>
      <c r="O79" s="20">
        <v>454400.18</v>
      </c>
      <c r="P79" s="20">
        <f>SUM(D79:O79)</f>
        <v>9872937.05</v>
      </c>
    </row>
    <row r="80" spans="1:16" ht="12">
      <c r="A80" s="21"/>
      <c r="B80" s="35" t="s">
        <v>25</v>
      </c>
      <c r="C80" s="19"/>
      <c r="D80" s="36">
        <f aca="true" t="shared" si="8" ref="D80:O80">SUM(D76:D79)</f>
        <v>1428159.85</v>
      </c>
      <c r="E80" s="36">
        <f t="shared" si="8"/>
        <v>1391821.96</v>
      </c>
      <c r="F80" s="36">
        <f t="shared" si="8"/>
        <v>1723023.58</v>
      </c>
      <c r="G80" s="36">
        <f t="shared" si="8"/>
        <v>2512336.45</v>
      </c>
      <c r="H80" s="54">
        <f t="shared" si="8"/>
        <v>1830363.54</v>
      </c>
      <c r="I80" s="36">
        <f t="shared" si="8"/>
        <v>1898084.57</v>
      </c>
      <c r="J80" s="54">
        <f t="shared" si="8"/>
        <v>1959771.6</v>
      </c>
      <c r="K80" s="36">
        <f t="shared" si="8"/>
        <v>7705169.09</v>
      </c>
      <c r="L80" s="55">
        <f t="shared" si="8"/>
        <v>1735707.92</v>
      </c>
      <c r="M80" s="36">
        <f t="shared" si="8"/>
        <v>2199824.88</v>
      </c>
      <c r="N80" s="55">
        <f t="shared" si="8"/>
        <v>2111669.42</v>
      </c>
      <c r="O80" s="36">
        <f t="shared" si="8"/>
        <v>1997133.18</v>
      </c>
      <c r="P80" s="36">
        <f>SUM(D80:O80)</f>
        <v>28493066.04</v>
      </c>
    </row>
    <row r="81" spans="1:16" ht="12">
      <c r="A81" s="37"/>
      <c r="B81" s="5"/>
      <c r="C81" s="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2" ht="12">
      <c r="A82" s="10" t="s">
        <v>111</v>
      </c>
      <c r="B82" s="10"/>
    </row>
    <row r="83" spans="1:16" ht="12">
      <c r="A83" s="56" t="s">
        <v>40</v>
      </c>
      <c r="B83" s="57" t="s">
        <v>112</v>
      </c>
      <c r="C83" s="58"/>
      <c r="D83" s="59">
        <f aca="true" t="shared" si="9" ref="D83:O83">D72+D80</f>
        <v>25654837.27</v>
      </c>
      <c r="E83" s="59">
        <f t="shared" si="9"/>
        <v>29463582.37</v>
      </c>
      <c r="F83" s="59">
        <f t="shared" si="9"/>
        <v>23402075.619999997</v>
      </c>
      <c r="G83" s="59">
        <f t="shared" si="9"/>
        <v>27002109.419999998</v>
      </c>
      <c r="H83" s="59">
        <f t="shared" si="9"/>
        <v>26873302.549999997</v>
      </c>
      <c r="I83" s="59">
        <f t="shared" si="9"/>
        <v>25599282.130000003</v>
      </c>
      <c r="J83" s="59">
        <f t="shared" si="9"/>
        <v>26453315.36</v>
      </c>
      <c r="K83" s="59">
        <f t="shared" si="9"/>
        <v>32488024.16</v>
      </c>
      <c r="L83" s="59">
        <f t="shared" si="9"/>
        <v>26433324.560000002</v>
      </c>
      <c r="M83" s="59">
        <f t="shared" si="9"/>
        <v>26951569.169999998</v>
      </c>
      <c r="N83" s="59">
        <f t="shared" si="9"/>
        <v>26574635.950000003</v>
      </c>
      <c r="O83" s="59">
        <f t="shared" si="9"/>
        <v>23004051.48</v>
      </c>
      <c r="P83" s="60">
        <f>SUM(D83:O83)</f>
        <v>319900110.03999996</v>
      </c>
    </row>
    <row r="84" spans="1:16" ht="12">
      <c r="A84" s="61" t="s">
        <v>31</v>
      </c>
      <c r="B84" s="18" t="s">
        <v>113</v>
      </c>
      <c r="C84" s="62"/>
      <c r="D84" s="63">
        <f aca="true" t="shared" si="10" ref="D84:O84">D16-D11+D49+D58</f>
        <v>19813740.62</v>
      </c>
      <c r="E84" s="63">
        <f t="shared" si="10"/>
        <v>22190540.84</v>
      </c>
      <c r="F84" s="63">
        <f t="shared" si="10"/>
        <v>21722402.83</v>
      </c>
      <c r="G84" s="63">
        <f t="shared" si="10"/>
        <v>22771873.8</v>
      </c>
      <c r="H84" s="63">
        <f t="shared" si="10"/>
        <v>23745489.92</v>
      </c>
      <c r="I84" s="63">
        <f t="shared" si="10"/>
        <v>25365383.53</v>
      </c>
      <c r="J84" s="63">
        <f t="shared" si="10"/>
        <v>32533916.95</v>
      </c>
      <c r="K84" s="63">
        <f t="shared" si="10"/>
        <v>24909149.82</v>
      </c>
      <c r="L84" s="63">
        <f t="shared" si="10"/>
        <v>24581418.04</v>
      </c>
      <c r="M84" s="63">
        <f t="shared" si="10"/>
        <v>24254466.1</v>
      </c>
      <c r="N84" s="63">
        <f t="shared" si="10"/>
        <v>27038600.93</v>
      </c>
      <c r="O84" s="63">
        <f t="shared" si="10"/>
        <v>34408129.26</v>
      </c>
      <c r="P84" s="20">
        <f>SUM(D84:O84)</f>
        <v>303335112.64</v>
      </c>
    </row>
    <row r="85" spans="1:16" ht="12">
      <c r="A85" s="64" t="s">
        <v>33</v>
      </c>
      <c r="B85" s="65" t="s">
        <v>114</v>
      </c>
      <c r="C85" s="66"/>
      <c r="D85" s="67">
        <f aca="true" t="shared" si="11" ref="D85:O85">D83-D84</f>
        <v>5841096.6499999985</v>
      </c>
      <c r="E85" s="67">
        <f t="shared" si="11"/>
        <v>7273041.530000001</v>
      </c>
      <c r="F85" s="67">
        <f t="shared" si="11"/>
        <v>1679672.789999999</v>
      </c>
      <c r="G85" s="67">
        <f t="shared" si="11"/>
        <v>4230235.619999997</v>
      </c>
      <c r="H85" s="67">
        <f t="shared" si="11"/>
        <v>3127812.629999995</v>
      </c>
      <c r="I85" s="67">
        <f t="shared" si="11"/>
        <v>233898.6000000015</v>
      </c>
      <c r="J85" s="67">
        <f t="shared" si="11"/>
        <v>-6080601.59</v>
      </c>
      <c r="K85" s="67">
        <f t="shared" si="11"/>
        <v>7578874.34</v>
      </c>
      <c r="L85" s="67">
        <f t="shared" si="11"/>
        <v>1851906.5200000033</v>
      </c>
      <c r="M85" s="67">
        <f t="shared" si="11"/>
        <v>2697103.0699999966</v>
      </c>
      <c r="N85" s="67">
        <f t="shared" si="11"/>
        <v>-463964.9799999967</v>
      </c>
      <c r="O85" s="67">
        <f t="shared" si="11"/>
        <v>-11404077.779999997</v>
      </c>
      <c r="P85" s="68">
        <f>SUM(D85:O85)</f>
        <v>16564997.399999999</v>
      </c>
    </row>
    <row r="86" ht="12">
      <c r="A86" s="69" t="s">
        <v>115</v>
      </c>
    </row>
    <row r="87" spans="16:19" ht="12">
      <c r="P87" s="2"/>
      <c r="Q87" s="1"/>
      <c r="R87" s="1"/>
      <c r="S87" s="1"/>
    </row>
    <row r="88" spans="16:19" ht="12">
      <c r="P88" s="2"/>
      <c r="Q88" s="1"/>
      <c r="R88" s="1"/>
      <c r="S88" s="1"/>
    </row>
    <row r="89" spans="16:19" ht="12">
      <c r="P89" s="2"/>
      <c r="Q89" s="1"/>
      <c r="R89" s="1"/>
      <c r="S89" s="1"/>
    </row>
    <row r="90" spans="16:19" ht="12">
      <c r="P90" s="2"/>
      <c r="Q90" s="1"/>
      <c r="R90" s="1"/>
      <c r="S90" s="1"/>
    </row>
    <row r="91" spans="16:19" ht="12">
      <c r="P91" s="2"/>
      <c r="Q91" s="1"/>
      <c r="R91" s="1"/>
      <c r="S91" s="1"/>
    </row>
    <row r="92" spans="16:19" ht="12">
      <c r="P92" s="2"/>
      <c r="Q92" s="1"/>
      <c r="R92" s="1"/>
      <c r="S92" s="1"/>
    </row>
    <row r="93" spans="16:19" ht="12">
      <c r="P93" s="2"/>
      <c r="Q93" s="1"/>
      <c r="R93" s="1"/>
      <c r="S93" s="1"/>
    </row>
    <row r="94" spans="16:19" ht="12">
      <c r="P94" s="2"/>
      <c r="Q94" s="1"/>
      <c r="R94" s="1"/>
      <c r="S94" s="1"/>
    </row>
    <row r="95" spans="16:19" ht="12">
      <c r="P95" s="2"/>
      <c r="Q95" s="1"/>
      <c r="R95" s="1"/>
      <c r="S95" s="1"/>
    </row>
    <row r="96" spans="16:19" ht="12">
      <c r="P96" s="2"/>
      <c r="Q96" s="1"/>
      <c r="R96" s="1"/>
      <c r="S96" s="1"/>
    </row>
    <row r="97" spans="16:19" ht="12">
      <c r="P97" s="2"/>
      <c r="Q97" s="1"/>
      <c r="R97" s="1"/>
      <c r="S97" s="1"/>
    </row>
    <row r="98" spans="16:19" ht="12">
      <c r="P98" s="2"/>
      <c r="Q98" s="1"/>
      <c r="R98" s="1"/>
      <c r="S98" s="1"/>
    </row>
    <row r="99" spans="16:19" ht="12">
      <c r="P99" s="2"/>
      <c r="Q99" s="1"/>
      <c r="R99" s="1"/>
      <c r="S99" s="1"/>
    </row>
    <row r="100" spans="16:19" ht="12">
      <c r="P100" s="2"/>
      <c r="Q100" s="1"/>
      <c r="R100" s="1"/>
      <c r="S100" s="1"/>
    </row>
    <row r="101" spans="16:19" ht="12">
      <c r="P101" s="2"/>
      <c r="Q101" s="1"/>
      <c r="R101" s="1"/>
      <c r="S101" s="1"/>
    </row>
    <row r="102" spans="16:19" ht="12">
      <c r="P102" s="2"/>
      <c r="Q102" s="1"/>
      <c r="R102" s="1"/>
      <c r="S102" s="1"/>
    </row>
    <row r="103" spans="16:19" ht="12">
      <c r="P103" s="2"/>
      <c r="Q103" s="1"/>
      <c r="R103" s="1"/>
      <c r="S103" s="1"/>
    </row>
    <row r="104" spans="16:19" ht="12">
      <c r="P104" s="2"/>
      <c r="Q104" s="1"/>
      <c r="R104" s="1"/>
      <c r="S104" s="1"/>
    </row>
    <row r="105" spans="16:19" ht="12">
      <c r="P105" s="2"/>
      <c r="Q105" s="1"/>
      <c r="R105" s="1"/>
      <c r="S105" s="1"/>
    </row>
    <row r="106" spans="16:19" ht="12">
      <c r="P106" s="2"/>
      <c r="Q106" s="1"/>
      <c r="R106" s="1"/>
      <c r="S106" s="1"/>
    </row>
    <row r="107" spans="16:19" ht="12">
      <c r="P107" s="2"/>
      <c r="Q107" s="1"/>
      <c r="R107" s="1"/>
      <c r="S107" s="1"/>
    </row>
    <row r="108" spans="16:19" ht="12">
      <c r="P108" s="2"/>
      <c r="Q108" s="1"/>
      <c r="R108" s="1"/>
      <c r="S108" s="1"/>
    </row>
    <row r="109" spans="16:19" ht="12">
      <c r="P109" s="2"/>
      <c r="Q109" s="1"/>
      <c r="R109" s="1"/>
      <c r="S109" s="1"/>
    </row>
    <row r="110" spans="16:19" ht="12">
      <c r="P110" s="2"/>
      <c r="Q110" s="1"/>
      <c r="R110" s="1"/>
      <c r="S110" s="1"/>
    </row>
    <row r="111" spans="16:19" ht="12">
      <c r="P111" s="2"/>
      <c r="Q111" s="1"/>
      <c r="R111" s="1"/>
      <c r="S111" s="1"/>
    </row>
    <row r="112" spans="16:19" ht="12">
      <c r="P112" s="2"/>
      <c r="Q112" s="1"/>
      <c r="R112" s="1"/>
      <c r="S112" s="1"/>
    </row>
    <row r="113" spans="16:19" ht="12">
      <c r="P113" s="2"/>
      <c r="Q113" s="1"/>
      <c r="R113" s="1"/>
      <c r="S113" s="1"/>
    </row>
    <row r="114" spans="16:19" ht="12">
      <c r="P114" s="2"/>
      <c r="Q114" s="1"/>
      <c r="R114" s="1"/>
      <c r="S114" s="1"/>
    </row>
    <row r="115" spans="16:19" ht="12">
      <c r="P115" s="2"/>
      <c r="Q115" s="1"/>
      <c r="R115" s="1"/>
      <c r="S115" s="1"/>
    </row>
    <row r="116" spans="16:19" ht="12">
      <c r="P116" s="2"/>
      <c r="Q116" s="1"/>
      <c r="R116" s="1"/>
      <c r="S116" s="1"/>
    </row>
    <row r="117" spans="16:19" ht="12">
      <c r="P117" s="2"/>
      <c r="Q117" s="1"/>
      <c r="R117" s="1"/>
      <c r="S117" s="1"/>
    </row>
    <row r="118" spans="16:19" ht="12">
      <c r="P118" s="2"/>
      <c r="Q118" s="1"/>
      <c r="R118" s="1"/>
      <c r="S118" s="1"/>
    </row>
    <row r="119" spans="16:19" ht="12">
      <c r="P119" s="2"/>
      <c r="Q119" s="1"/>
      <c r="R119" s="1"/>
      <c r="S119" s="1"/>
    </row>
    <row r="120" spans="16:19" ht="12">
      <c r="P120" s="2"/>
      <c r="Q120" s="1"/>
      <c r="R120" s="1"/>
      <c r="S120" s="1"/>
    </row>
    <row r="121" spans="16:19" ht="12">
      <c r="P121" s="2"/>
      <c r="Q121" s="1"/>
      <c r="R121" s="1"/>
      <c r="S121" s="1"/>
    </row>
    <row r="122" spans="16:19" ht="12">
      <c r="P122" s="2"/>
      <c r="Q122" s="1"/>
      <c r="R122" s="1"/>
      <c r="S122" s="1"/>
    </row>
    <row r="123" spans="16:19" ht="12">
      <c r="P123" s="2"/>
      <c r="Q123" s="1"/>
      <c r="R123" s="1"/>
      <c r="S123" s="1"/>
    </row>
    <row r="124" spans="16:19" ht="12">
      <c r="P124" s="2"/>
      <c r="Q124" s="1"/>
      <c r="R124" s="1"/>
      <c r="S124" s="1"/>
    </row>
    <row r="125" spans="16:19" ht="12">
      <c r="P125" s="2"/>
      <c r="Q125" s="1"/>
      <c r="R125" s="1"/>
      <c r="S125" s="1"/>
    </row>
    <row r="126" spans="16:19" ht="12">
      <c r="P126" s="2"/>
      <c r="Q126" s="1"/>
      <c r="R126" s="1"/>
      <c r="S126" s="1"/>
    </row>
    <row r="127" spans="16:19" ht="12">
      <c r="P127" s="2"/>
      <c r="Q127" s="1"/>
      <c r="R127" s="1"/>
      <c r="S127" s="1"/>
    </row>
    <row r="128" spans="16:19" ht="12">
      <c r="P128" s="2"/>
      <c r="Q128" s="1"/>
      <c r="R128" s="1"/>
      <c r="S128" s="1"/>
    </row>
    <row r="129" spans="16:19" ht="12">
      <c r="P129" s="2"/>
      <c r="Q129" s="1"/>
      <c r="R129" s="1"/>
      <c r="S129" s="1"/>
    </row>
    <row r="130" spans="16:19" ht="12">
      <c r="P130" s="2"/>
      <c r="Q130" s="1"/>
      <c r="R130" s="1"/>
      <c r="S130" s="1"/>
    </row>
    <row r="131" spans="16:19" ht="12">
      <c r="P131" s="2"/>
      <c r="Q131" s="1"/>
      <c r="R131" s="1"/>
      <c r="S131" s="1"/>
    </row>
    <row r="132" spans="16:19" ht="12">
      <c r="P132" s="2"/>
      <c r="Q132" s="1"/>
      <c r="R132" s="1"/>
      <c r="S132" s="1"/>
    </row>
    <row r="133" spans="16:19" ht="12">
      <c r="P133" s="2"/>
      <c r="Q133" s="1"/>
      <c r="R133" s="1"/>
      <c r="S133" s="1"/>
    </row>
    <row r="134" spans="16:19" ht="12">
      <c r="P134" s="2"/>
      <c r="Q134" s="1"/>
      <c r="R134" s="1"/>
      <c r="S134" s="1"/>
    </row>
    <row r="135" spans="16:19" ht="12">
      <c r="P135" s="2"/>
      <c r="Q135" s="1"/>
      <c r="R135" s="1"/>
      <c r="S135" s="1"/>
    </row>
    <row r="136" spans="16:19" ht="12">
      <c r="P136" s="2"/>
      <c r="Q136" s="1"/>
      <c r="R136" s="1"/>
      <c r="S136" s="1"/>
    </row>
    <row r="137" spans="16:19" ht="12">
      <c r="P137" s="2"/>
      <c r="Q137" s="1"/>
      <c r="R137" s="1"/>
      <c r="S137" s="1"/>
    </row>
    <row r="138" spans="16:19" ht="12">
      <c r="P138" s="2"/>
      <c r="Q138" s="1"/>
      <c r="R138" s="1"/>
      <c r="S138" s="1"/>
    </row>
    <row r="139" spans="16:19" ht="12">
      <c r="P139" s="2"/>
      <c r="Q139" s="1"/>
      <c r="R139" s="1"/>
      <c r="S139" s="1"/>
    </row>
    <row r="140" spans="16:19" ht="12">
      <c r="P140" s="2"/>
      <c r="Q140" s="1"/>
      <c r="R140" s="1"/>
      <c r="S140" s="1"/>
    </row>
    <row r="141" spans="16:19" ht="12">
      <c r="P141" s="2"/>
      <c r="Q141" s="1"/>
      <c r="R141" s="1"/>
      <c r="S141" s="1"/>
    </row>
    <row r="142" spans="16:19" ht="12">
      <c r="P142" s="2"/>
      <c r="Q142" s="1"/>
      <c r="R142" s="1"/>
      <c r="S142" s="1"/>
    </row>
    <row r="143" spans="16:19" ht="12">
      <c r="P143" s="2"/>
      <c r="Q143" s="1"/>
      <c r="R143" s="1"/>
      <c r="S143" s="1"/>
    </row>
    <row r="144" spans="16:19" ht="12">
      <c r="P144" s="2"/>
      <c r="Q144" s="1"/>
      <c r="R144" s="1"/>
      <c r="S144" s="1"/>
    </row>
    <row r="145" spans="16:19" ht="12">
      <c r="P145" s="2"/>
      <c r="Q145" s="1"/>
      <c r="R145" s="1"/>
      <c r="S145" s="1"/>
    </row>
    <row r="146" spans="16:19" ht="12">
      <c r="P146" s="2"/>
      <c r="Q146" s="1"/>
      <c r="R146" s="1"/>
      <c r="S146" s="1"/>
    </row>
    <row r="147" spans="16:19" ht="12">
      <c r="P147" s="2"/>
      <c r="Q147" s="1"/>
      <c r="R147" s="1"/>
      <c r="S147" s="1"/>
    </row>
    <row r="148" spans="16:19" ht="12">
      <c r="P148" s="2"/>
      <c r="Q148" s="1"/>
      <c r="R148" s="1"/>
      <c r="S148" s="1"/>
    </row>
    <row r="149" spans="16:19" ht="12">
      <c r="P149" s="2"/>
      <c r="Q149" s="1"/>
      <c r="R149" s="1"/>
      <c r="S149" s="1"/>
    </row>
    <row r="150" spans="16:19" ht="12">
      <c r="P150" s="2"/>
      <c r="Q150" s="1"/>
      <c r="R150" s="1"/>
      <c r="S150" s="1"/>
    </row>
    <row r="151" spans="16:19" ht="12">
      <c r="P151" s="2"/>
      <c r="Q151" s="1"/>
      <c r="R151" s="1"/>
      <c r="S151" s="1"/>
    </row>
    <row r="152" spans="16:19" ht="12">
      <c r="P152" s="2"/>
      <c r="Q152" s="1"/>
      <c r="R152" s="1"/>
      <c r="S152" s="1"/>
    </row>
    <row r="153" spans="16:19" ht="12">
      <c r="P153" s="2"/>
      <c r="Q153" s="1"/>
      <c r="R153" s="1"/>
      <c r="S153" s="1"/>
    </row>
    <row r="154" spans="16:19" ht="12">
      <c r="P154" s="2"/>
      <c r="Q154" s="1"/>
      <c r="R154" s="1"/>
      <c r="S154" s="1"/>
    </row>
    <row r="155" spans="16:19" ht="12">
      <c r="P155" s="2"/>
      <c r="Q155" s="1"/>
      <c r="R155" s="1"/>
      <c r="S155" s="1"/>
    </row>
    <row r="156" spans="16:19" ht="12">
      <c r="P156" s="2"/>
      <c r="Q156" s="1"/>
      <c r="R156" s="1"/>
      <c r="S156" s="1"/>
    </row>
    <row r="157" spans="16:19" ht="12">
      <c r="P157" s="2"/>
      <c r="Q157" s="1"/>
      <c r="R157" s="1"/>
      <c r="S157" s="1"/>
    </row>
    <row r="158" spans="16:19" ht="12">
      <c r="P158" s="2"/>
      <c r="Q158" s="1"/>
      <c r="R158" s="1"/>
      <c r="S158" s="1"/>
    </row>
    <row r="159" spans="16:19" ht="12">
      <c r="P159" s="2"/>
      <c r="Q159" s="1"/>
      <c r="R159" s="1"/>
      <c r="S159" s="1"/>
    </row>
    <row r="160" spans="16:19" ht="12">
      <c r="P160" s="2"/>
      <c r="Q160" s="1"/>
      <c r="R160" s="1"/>
      <c r="S160" s="1"/>
    </row>
    <row r="161" spans="16:19" ht="12">
      <c r="P161" s="2"/>
      <c r="Q161" s="1"/>
      <c r="R161" s="1"/>
      <c r="S161" s="1"/>
    </row>
    <row r="162" spans="16:19" ht="12">
      <c r="P162" s="2"/>
      <c r="Q162" s="1"/>
      <c r="R162" s="1"/>
      <c r="S162" s="1"/>
    </row>
    <row r="163" spans="16:19" ht="12">
      <c r="P163" s="2"/>
      <c r="Q163" s="1"/>
      <c r="R163" s="1"/>
      <c r="S163" s="1"/>
    </row>
    <row r="164" spans="16:19" ht="12">
      <c r="P164" s="2"/>
      <c r="Q164" s="1"/>
      <c r="R164" s="1"/>
      <c r="S164" s="1"/>
    </row>
    <row r="165" spans="16:19" ht="12">
      <c r="P165" s="2"/>
      <c r="Q165" s="1"/>
      <c r="R165" s="1"/>
      <c r="S165" s="1"/>
    </row>
    <row r="166" spans="16:19" ht="12">
      <c r="P166" s="2"/>
      <c r="Q166" s="1"/>
      <c r="R166" s="1"/>
      <c r="S166" s="1"/>
    </row>
    <row r="167" spans="16:19" ht="12">
      <c r="P167" s="2"/>
      <c r="Q167" s="1"/>
      <c r="R167" s="1"/>
      <c r="S167" s="1"/>
    </row>
    <row r="168" spans="16:19" ht="12">
      <c r="P168" s="2"/>
      <c r="Q168" s="1"/>
      <c r="R168" s="1"/>
      <c r="S168" s="1"/>
    </row>
    <row r="169" spans="16:19" ht="12">
      <c r="P169" s="2"/>
      <c r="Q169" s="1"/>
      <c r="R169" s="1"/>
      <c r="S169" s="1"/>
    </row>
    <row r="170" spans="16:19" ht="12">
      <c r="P170" s="2"/>
      <c r="Q170" s="1"/>
      <c r="R170" s="1"/>
      <c r="S170" s="1"/>
    </row>
    <row r="171" spans="16:19" ht="12">
      <c r="P171" s="2"/>
      <c r="Q171" s="1"/>
      <c r="R171" s="1"/>
      <c r="S171" s="1"/>
    </row>
    <row r="172" spans="16:19" ht="12">
      <c r="P172" s="2"/>
      <c r="Q172" s="1"/>
      <c r="R172" s="1"/>
      <c r="S172" s="1"/>
    </row>
    <row r="173" spans="16:19" ht="12">
      <c r="P173" s="2"/>
      <c r="Q173" s="1"/>
      <c r="R173" s="1"/>
      <c r="S173" s="1"/>
    </row>
    <row r="174" spans="16:19" ht="12">
      <c r="P174" s="2"/>
      <c r="Q174" s="1"/>
      <c r="R174" s="1"/>
      <c r="S174" s="1"/>
    </row>
    <row r="175" spans="16:19" ht="12">
      <c r="P175" s="2"/>
      <c r="Q175" s="1"/>
      <c r="R175" s="1"/>
      <c r="S175" s="1"/>
    </row>
    <row r="176" spans="16:19" ht="12">
      <c r="P176" s="2"/>
      <c r="Q176" s="1"/>
      <c r="R176" s="1"/>
      <c r="S176" s="1"/>
    </row>
    <row r="177" spans="16:19" ht="12">
      <c r="P177" s="2"/>
      <c r="Q177" s="1"/>
      <c r="R177" s="1"/>
      <c r="S177" s="1"/>
    </row>
    <row r="178" spans="16:19" ht="12">
      <c r="P178" s="2"/>
      <c r="Q178" s="1"/>
      <c r="R178" s="1"/>
      <c r="S178" s="1"/>
    </row>
    <row r="179" spans="16:19" ht="12">
      <c r="P179" s="2"/>
      <c r="Q179" s="1"/>
      <c r="R179" s="1"/>
      <c r="S179" s="1"/>
    </row>
    <row r="180" spans="16:19" ht="12">
      <c r="P180" s="2"/>
      <c r="Q180" s="1"/>
      <c r="R180" s="1"/>
      <c r="S180" s="1"/>
    </row>
    <row r="181" spans="16:19" ht="12">
      <c r="P181" s="2"/>
      <c r="Q181" s="1"/>
      <c r="R181" s="1"/>
      <c r="S181" s="1"/>
    </row>
    <row r="182" spans="16:19" ht="12">
      <c r="P182" s="2"/>
      <c r="Q182" s="1"/>
      <c r="R182" s="1"/>
      <c r="S182" s="1"/>
    </row>
    <row r="183" spans="16:19" ht="12">
      <c r="P183" s="2"/>
      <c r="Q183" s="1"/>
      <c r="R183" s="1"/>
      <c r="S183" s="1"/>
    </row>
    <row r="184" spans="16:19" ht="12">
      <c r="P184" s="2"/>
      <c r="Q184" s="1"/>
      <c r="R184" s="1"/>
      <c r="S184" s="1"/>
    </row>
    <row r="185" spans="16:19" ht="12">
      <c r="P185" s="2"/>
      <c r="Q185" s="1"/>
      <c r="R185" s="1"/>
      <c r="S185" s="1"/>
    </row>
    <row r="186" spans="16:19" ht="12">
      <c r="P186" s="2"/>
      <c r="Q186" s="1"/>
      <c r="R186" s="1"/>
      <c r="S186" s="1"/>
    </row>
    <row r="187" spans="16:19" ht="12">
      <c r="P187" s="2"/>
      <c r="Q187" s="1"/>
      <c r="R187" s="1"/>
      <c r="S187" s="1"/>
    </row>
    <row r="188" spans="16:19" ht="12">
      <c r="P188" s="2"/>
      <c r="Q188" s="1"/>
      <c r="R188" s="1"/>
      <c r="S188" s="1"/>
    </row>
    <row r="189" spans="16:19" ht="12">
      <c r="P189" s="2"/>
      <c r="Q189" s="1"/>
      <c r="R189" s="1"/>
      <c r="S189" s="1"/>
    </row>
    <row r="190" spans="16:19" ht="12">
      <c r="P190" s="2"/>
      <c r="Q190" s="1"/>
      <c r="R190" s="1"/>
      <c r="S190" s="1"/>
    </row>
    <row r="191" spans="16:19" ht="12">
      <c r="P191" s="2"/>
      <c r="Q191" s="1"/>
      <c r="R191" s="1"/>
      <c r="S191" s="1"/>
    </row>
    <row r="192" spans="16:19" ht="12">
      <c r="P192" s="2"/>
      <c r="Q192" s="1"/>
      <c r="R192" s="1"/>
      <c r="S192" s="1"/>
    </row>
    <row r="193" spans="16:19" ht="12">
      <c r="P193" s="2"/>
      <c r="Q193" s="1"/>
      <c r="R193" s="1"/>
      <c r="S193" s="1"/>
    </row>
    <row r="194" spans="16:19" ht="12">
      <c r="P194" s="2"/>
      <c r="Q194" s="1"/>
      <c r="R194" s="1"/>
      <c r="S194" s="1"/>
    </row>
    <row r="195" spans="16:19" ht="12">
      <c r="P195" s="2"/>
      <c r="Q195" s="1"/>
      <c r="R195" s="1"/>
      <c r="S195" s="1"/>
    </row>
    <row r="196" spans="16:19" ht="12">
      <c r="P196" s="2"/>
      <c r="Q196" s="1"/>
      <c r="R196" s="1"/>
      <c r="S196" s="1"/>
    </row>
    <row r="197" spans="16:19" ht="12">
      <c r="P197" s="2"/>
      <c r="Q197" s="1"/>
      <c r="R197" s="1"/>
      <c r="S197" s="1"/>
    </row>
    <row r="198" spans="16:19" ht="12">
      <c r="P198" s="2"/>
      <c r="Q198" s="1"/>
      <c r="R198" s="1"/>
      <c r="S198" s="1"/>
    </row>
    <row r="199" spans="16:19" ht="12">
      <c r="P199" s="2"/>
      <c r="Q199" s="1"/>
      <c r="R199" s="1"/>
      <c r="S199" s="1"/>
    </row>
    <row r="200" spans="16:19" ht="12">
      <c r="P200" s="2"/>
      <c r="Q200" s="1"/>
      <c r="R200" s="1"/>
      <c r="S200" s="1"/>
    </row>
    <row r="201" spans="16:19" ht="12">
      <c r="P201" s="2"/>
      <c r="Q201" s="1"/>
      <c r="R201" s="1"/>
      <c r="S201" s="1"/>
    </row>
    <row r="202" spans="16:19" ht="12">
      <c r="P202" s="2"/>
      <c r="Q202" s="1"/>
      <c r="R202" s="1"/>
      <c r="S202" s="1"/>
    </row>
    <row r="203" spans="16:19" ht="12">
      <c r="P203" s="2"/>
      <c r="Q203" s="1"/>
      <c r="R203" s="1"/>
      <c r="S203" s="1"/>
    </row>
    <row r="204" spans="16:19" ht="12">
      <c r="P204" s="2"/>
      <c r="Q204" s="1"/>
      <c r="R204" s="1"/>
      <c r="S204" s="1"/>
    </row>
    <row r="205" spans="16:19" ht="12">
      <c r="P205" s="2"/>
      <c r="Q205" s="1"/>
      <c r="R205" s="1"/>
      <c r="S205" s="1"/>
    </row>
    <row r="206" spans="16:19" ht="12">
      <c r="P206" s="2"/>
      <c r="Q206" s="1"/>
      <c r="R206" s="1"/>
      <c r="S206" s="1"/>
    </row>
    <row r="207" spans="16:19" ht="12">
      <c r="P207" s="2"/>
      <c r="Q207" s="1"/>
      <c r="R207" s="1"/>
      <c r="S207" s="1"/>
    </row>
    <row r="208" spans="16:19" ht="12">
      <c r="P208" s="2"/>
      <c r="Q208" s="1"/>
      <c r="R208" s="1"/>
      <c r="S208" s="1"/>
    </row>
    <row r="209" spans="16:19" ht="12">
      <c r="P209" s="2"/>
      <c r="Q209" s="1"/>
      <c r="R209" s="1"/>
      <c r="S209" s="1"/>
    </row>
    <row r="210" spans="16:19" ht="12">
      <c r="P210" s="2"/>
      <c r="Q210" s="1"/>
      <c r="R210" s="1"/>
      <c r="S210" s="1"/>
    </row>
    <row r="211" spans="16:19" ht="12">
      <c r="P211" s="2"/>
      <c r="Q211" s="1"/>
      <c r="R211" s="1"/>
      <c r="S211" s="1"/>
    </row>
    <row r="212" spans="16:19" ht="12">
      <c r="P212" s="2"/>
      <c r="Q212" s="1"/>
      <c r="R212" s="1"/>
      <c r="S212" s="1"/>
    </row>
    <row r="213" spans="16:19" ht="12">
      <c r="P213" s="2"/>
      <c r="Q213" s="1"/>
      <c r="R213" s="1"/>
      <c r="S213" s="1"/>
    </row>
    <row r="214" spans="16:19" ht="12">
      <c r="P214" s="2"/>
      <c r="Q214" s="1"/>
      <c r="R214" s="1"/>
      <c r="S214" s="1"/>
    </row>
  </sheetData>
  <mergeCells count="17">
    <mergeCell ref="G1:I1"/>
    <mergeCell ref="E2:F2"/>
    <mergeCell ref="G2:I2"/>
    <mergeCell ref="E3:F3"/>
    <mergeCell ref="G3:I3"/>
    <mergeCell ref="A32:A35"/>
    <mergeCell ref="G4:I4"/>
    <mergeCell ref="E5:F5"/>
    <mergeCell ref="G5:I5"/>
    <mergeCell ref="E6:F6"/>
    <mergeCell ref="G6:I6"/>
    <mergeCell ref="B55:C55"/>
    <mergeCell ref="B56:C56"/>
    <mergeCell ref="B62:C62"/>
    <mergeCell ref="B12:C12"/>
    <mergeCell ref="B13:C13"/>
    <mergeCell ref="B14:C1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4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79852769472</cp:lastModifiedBy>
  <dcterms:modified xsi:type="dcterms:W3CDTF">2010-04-26T11:46:52Z</dcterms:modified>
  <cp:category/>
  <cp:version/>
  <cp:contentType/>
  <cp:contentStatus/>
</cp:coreProperties>
</file>